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jason/Downloads/"/>
    </mc:Choice>
  </mc:AlternateContent>
  <xr:revisionPtr revIDLastSave="0" documentId="13_ncr:101_{329A072C-BC57-D040-8CA3-E2F37A903685}" xr6:coauthVersionLast="47" xr6:coauthVersionMax="47" xr10:uidLastSave="{00000000-0000-0000-0000-000000000000}"/>
  <bookViews>
    <workbookView xWindow="0" yWindow="660" windowWidth="30240" windowHeight="18980" tabRatio="500" xr2:uid="{00000000-000D-0000-FFFF-FFFF00000000}"/>
  </bookViews>
  <sheets>
    <sheet name="Cover" sheetId="1" r:id="rId1"/>
    <sheet name="Assumptions" sheetId="2" r:id="rId2"/>
    <sheet name="DCF" sheetId="3" r:id="rId3"/>
    <sheet name="Scenarios" sheetId="4" r:id="rId4"/>
    <sheet name="Income Statement" sheetId="5" r:id="rId5"/>
    <sheet name="Balance Sheet" sheetId="6" r:id="rId6"/>
    <sheet name="Cash Flow" sheetId="7" r:id="rId7"/>
    <sheet name="Stockholders Equity" sheetId="8" r:id="rId8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2" i="8" l="1"/>
  <c r="E30" i="8" s="1"/>
  <c r="E32" i="8" s="1"/>
  <c r="F30" i="8" s="1"/>
  <c r="F32" i="8" s="1"/>
  <c r="G30" i="8" s="1"/>
  <c r="G32" i="8" s="1"/>
  <c r="H30" i="8" s="1"/>
  <c r="H32" i="8" s="1"/>
  <c r="I30" i="8" s="1"/>
  <c r="I32" i="8" s="1"/>
  <c r="J30" i="8" s="1"/>
  <c r="J32" i="8" s="1"/>
  <c r="K30" i="8" s="1"/>
  <c r="K32" i="8" s="1"/>
  <c r="L30" i="8" s="1"/>
  <c r="L32" i="8" s="1"/>
  <c r="M30" i="8" s="1"/>
  <c r="M32" i="8" s="1"/>
  <c r="N30" i="8" s="1"/>
  <c r="N32" i="8" s="1"/>
  <c r="C32" i="8"/>
  <c r="B32" i="8"/>
  <c r="D27" i="8"/>
  <c r="C27" i="8"/>
  <c r="B27" i="8"/>
  <c r="B34" i="8" s="1"/>
  <c r="E25" i="8"/>
  <c r="E27" i="8" s="1"/>
  <c r="F25" i="8" s="1"/>
  <c r="F27" i="8" s="1"/>
  <c r="G25" i="8" s="1"/>
  <c r="G27" i="8" s="1"/>
  <c r="H25" i="8" s="1"/>
  <c r="H27" i="8" s="1"/>
  <c r="I25" i="8" s="1"/>
  <c r="I27" i="8" s="1"/>
  <c r="J25" i="8" s="1"/>
  <c r="J27" i="8" s="1"/>
  <c r="K25" i="8" s="1"/>
  <c r="K27" i="8" s="1"/>
  <c r="L25" i="8" s="1"/>
  <c r="L27" i="8" s="1"/>
  <c r="M25" i="8" s="1"/>
  <c r="M27" i="8" s="1"/>
  <c r="N25" i="8" s="1"/>
  <c r="N27" i="8" s="1"/>
  <c r="D22" i="8"/>
  <c r="E17" i="8" s="1"/>
  <c r="C22" i="8"/>
  <c r="B22" i="8"/>
  <c r="K21" i="8"/>
  <c r="J21" i="8"/>
  <c r="I21" i="8"/>
  <c r="N19" i="8"/>
  <c r="M19" i="8"/>
  <c r="L19" i="8"/>
  <c r="K19" i="8"/>
  <c r="J19" i="8"/>
  <c r="I19" i="8"/>
  <c r="H19" i="8"/>
  <c r="G19" i="8"/>
  <c r="F19" i="8"/>
  <c r="E19" i="8"/>
  <c r="D14" i="8"/>
  <c r="C14" i="8"/>
  <c r="B14" i="8"/>
  <c r="N12" i="8"/>
  <c r="M12" i="8"/>
  <c r="L12" i="8"/>
  <c r="K12" i="8"/>
  <c r="J12" i="8"/>
  <c r="I12" i="8"/>
  <c r="H12" i="8"/>
  <c r="G12" i="8"/>
  <c r="F12" i="8"/>
  <c r="E12" i="8"/>
  <c r="E10" i="8"/>
  <c r="D7" i="8"/>
  <c r="C7" i="8"/>
  <c r="C34" i="8" s="1"/>
  <c r="B7" i="8"/>
  <c r="D31" i="7"/>
  <c r="C31" i="7"/>
  <c r="B31" i="7"/>
  <c r="N30" i="7"/>
  <c r="M30" i="7"/>
  <c r="L30" i="7"/>
  <c r="K30" i="7"/>
  <c r="J30" i="7"/>
  <c r="I30" i="7"/>
  <c r="H30" i="7"/>
  <c r="G30" i="7"/>
  <c r="F30" i="7"/>
  <c r="E30" i="7"/>
  <c r="N27" i="7"/>
  <c r="N21" i="8" s="1"/>
  <c r="M27" i="7"/>
  <c r="M21" i="8" s="1"/>
  <c r="L27" i="7"/>
  <c r="L21" i="8" s="1"/>
  <c r="K27" i="7"/>
  <c r="J27" i="7"/>
  <c r="I27" i="7"/>
  <c r="H27" i="7"/>
  <c r="H21" i="8" s="1"/>
  <c r="G27" i="7"/>
  <c r="F27" i="7"/>
  <c r="F21" i="8" s="1"/>
  <c r="E27" i="7"/>
  <c r="E21" i="8" s="1"/>
  <c r="N25" i="7"/>
  <c r="M25" i="7"/>
  <c r="L25" i="7"/>
  <c r="K25" i="7"/>
  <c r="J25" i="7"/>
  <c r="I25" i="7"/>
  <c r="H25" i="7"/>
  <c r="G25" i="7"/>
  <c r="F25" i="7"/>
  <c r="E25" i="7"/>
  <c r="N24" i="7"/>
  <c r="M24" i="7"/>
  <c r="L24" i="7"/>
  <c r="K24" i="7"/>
  <c r="J24" i="7"/>
  <c r="I24" i="7"/>
  <c r="H24" i="7"/>
  <c r="G24" i="7"/>
  <c r="F24" i="7"/>
  <c r="E24" i="7"/>
  <c r="N23" i="7"/>
  <c r="M23" i="7"/>
  <c r="L23" i="7"/>
  <c r="K23" i="7"/>
  <c r="J23" i="7"/>
  <c r="I23" i="7"/>
  <c r="H23" i="7"/>
  <c r="G23" i="7"/>
  <c r="F23" i="7"/>
  <c r="E23" i="7"/>
  <c r="J19" i="7"/>
  <c r="D19" i="7"/>
  <c r="C19" i="7"/>
  <c r="B19" i="7"/>
  <c r="F17" i="7"/>
  <c r="F19" i="7" s="1"/>
  <c r="D14" i="7"/>
  <c r="D34" i="7" s="1"/>
  <c r="D36" i="7" s="1"/>
  <c r="E35" i="7" s="1"/>
  <c r="C14" i="7"/>
  <c r="B14" i="7"/>
  <c r="B34" i="7" s="1"/>
  <c r="B36" i="7" s="1"/>
  <c r="D40" i="6"/>
  <c r="C40" i="6"/>
  <c r="B40" i="6"/>
  <c r="D39" i="6"/>
  <c r="D37" i="6"/>
  <c r="D36" i="6"/>
  <c r="C36" i="6"/>
  <c r="B36" i="6"/>
  <c r="L35" i="6"/>
  <c r="M35" i="6" s="1"/>
  <c r="N35" i="6" s="1"/>
  <c r="G35" i="6"/>
  <c r="H35" i="6" s="1"/>
  <c r="I35" i="6" s="1"/>
  <c r="J35" i="6" s="1"/>
  <c r="K35" i="6" s="1"/>
  <c r="F35" i="6"/>
  <c r="E35" i="6"/>
  <c r="D34" i="6"/>
  <c r="C34" i="6"/>
  <c r="B34" i="6"/>
  <c r="E33" i="6"/>
  <c r="F33" i="6" s="1"/>
  <c r="G33" i="6" s="1"/>
  <c r="H33" i="6" s="1"/>
  <c r="I33" i="6" s="1"/>
  <c r="J33" i="6" s="1"/>
  <c r="K33" i="6" s="1"/>
  <c r="L33" i="6" s="1"/>
  <c r="M33" i="6" s="1"/>
  <c r="N33" i="6" s="1"/>
  <c r="E30" i="6"/>
  <c r="D27" i="6"/>
  <c r="C27" i="6"/>
  <c r="C37" i="6" s="1"/>
  <c r="K26" i="6"/>
  <c r="L26" i="6" s="1"/>
  <c r="M26" i="6" s="1"/>
  <c r="N26" i="6" s="1"/>
  <c r="J26" i="6"/>
  <c r="E26" i="6"/>
  <c r="F26" i="6" s="1"/>
  <c r="G26" i="6" s="1"/>
  <c r="H26" i="6" s="1"/>
  <c r="I26" i="6" s="1"/>
  <c r="E25" i="6"/>
  <c r="F25" i="6" s="1"/>
  <c r="G25" i="6" s="1"/>
  <c r="H25" i="6" s="1"/>
  <c r="I25" i="6" s="1"/>
  <c r="J25" i="6" s="1"/>
  <c r="K25" i="6" s="1"/>
  <c r="L25" i="6" s="1"/>
  <c r="M25" i="6" s="1"/>
  <c r="N25" i="6" s="1"/>
  <c r="D23" i="6"/>
  <c r="C23" i="6"/>
  <c r="B23" i="6"/>
  <c r="B27" i="6" s="1"/>
  <c r="B37" i="6" s="1"/>
  <c r="E20" i="6"/>
  <c r="E19" i="6"/>
  <c r="D15" i="6"/>
  <c r="F14" i="6"/>
  <c r="G14" i="6" s="1"/>
  <c r="H14" i="6" s="1"/>
  <c r="I14" i="6" s="1"/>
  <c r="J14" i="6" s="1"/>
  <c r="K14" i="6" s="1"/>
  <c r="L14" i="6" s="1"/>
  <c r="M14" i="6" s="1"/>
  <c r="N14" i="6" s="1"/>
  <c r="E14" i="6"/>
  <c r="I13" i="6"/>
  <c r="J13" i="6" s="1"/>
  <c r="K13" i="6" s="1"/>
  <c r="L13" i="6" s="1"/>
  <c r="M13" i="6" s="1"/>
  <c r="N13" i="6" s="1"/>
  <c r="H13" i="6"/>
  <c r="G13" i="6"/>
  <c r="F13" i="6"/>
  <c r="E13" i="6"/>
  <c r="D11" i="6"/>
  <c r="C11" i="6"/>
  <c r="C15" i="6" s="1"/>
  <c r="C39" i="6" s="1"/>
  <c r="B11" i="6"/>
  <c r="B15" i="6" s="1"/>
  <c r="B39" i="6" s="1"/>
  <c r="E9" i="6"/>
  <c r="E9" i="7" s="1"/>
  <c r="G8" i="6"/>
  <c r="H8" i="6" s="1"/>
  <c r="I8" i="6" s="1"/>
  <c r="J8" i="6" s="1"/>
  <c r="K8" i="6" s="1"/>
  <c r="L8" i="6" s="1"/>
  <c r="M8" i="6" s="1"/>
  <c r="N8" i="6" s="1"/>
  <c r="F8" i="6"/>
  <c r="E8" i="6"/>
  <c r="D29" i="5"/>
  <c r="C29" i="5"/>
  <c r="B29" i="5"/>
  <c r="F23" i="5"/>
  <c r="E23" i="5"/>
  <c r="N20" i="5"/>
  <c r="M20" i="5"/>
  <c r="L20" i="5"/>
  <c r="K20" i="5"/>
  <c r="J20" i="5"/>
  <c r="I20" i="5"/>
  <c r="H20" i="5"/>
  <c r="G20" i="5"/>
  <c r="F20" i="5"/>
  <c r="E20" i="5"/>
  <c r="E16" i="5"/>
  <c r="E15" i="5"/>
  <c r="D12" i="5"/>
  <c r="C12" i="5"/>
  <c r="B12" i="5"/>
  <c r="B13" i="5" s="1"/>
  <c r="D7" i="5"/>
  <c r="D13" i="5" s="1"/>
  <c r="D30" i="5" s="1"/>
  <c r="C7" i="5"/>
  <c r="C13" i="5" s="1"/>
  <c r="B7" i="5"/>
  <c r="C39" i="4"/>
  <c r="B39" i="4"/>
  <c r="C38" i="4"/>
  <c r="B38" i="4"/>
  <c r="C37" i="4"/>
  <c r="C36" i="4"/>
  <c r="B36" i="4"/>
  <c r="K35" i="4"/>
  <c r="J35" i="4"/>
  <c r="I35" i="4"/>
  <c r="H35" i="4"/>
  <c r="G35" i="4"/>
  <c r="F35" i="4"/>
  <c r="E35" i="4"/>
  <c r="D35" i="4"/>
  <c r="C35" i="4"/>
  <c r="B35" i="4"/>
  <c r="D34" i="4"/>
  <c r="C34" i="4"/>
  <c r="B34" i="4"/>
  <c r="C33" i="4"/>
  <c r="B33" i="4"/>
  <c r="D32" i="4"/>
  <c r="C32" i="4"/>
  <c r="B32" i="4"/>
  <c r="B37" i="4" s="1"/>
  <c r="K21" i="4"/>
  <c r="J21" i="4"/>
  <c r="I21" i="4"/>
  <c r="H21" i="4"/>
  <c r="G21" i="4"/>
  <c r="F21" i="4"/>
  <c r="E21" i="4"/>
  <c r="D21" i="4"/>
  <c r="C21" i="4"/>
  <c r="B21" i="4"/>
  <c r="B18" i="4"/>
  <c r="B25" i="4" s="1"/>
  <c r="B11" i="4"/>
  <c r="B10" i="4"/>
  <c r="B9" i="4"/>
  <c r="B8" i="4"/>
  <c r="K7" i="4"/>
  <c r="J7" i="4"/>
  <c r="I7" i="4"/>
  <c r="H7" i="4"/>
  <c r="G7" i="4"/>
  <c r="F7" i="4"/>
  <c r="E7" i="4"/>
  <c r="D7" i="4"/>
  <c r="C7" i="4"/>
  <c r="B7" i="4"/>
  <c r="C6" i="4"/>
  <c r="B6" i="4"/>
  <c r="B5" i="4"/>
  <c r="C4" i="4"/>
  <c r="B4" i="4"/>
  <c r="B30" i="3"/>
  <c r="B28" i="3"/>
  <c r="B26" i="3"/>
  <c r="B25" i="3"/>
  <c r="B24" i="3"/>
  <c r="B18" i="3"/>
  <c r="B17" i="3"/>
  <c r="B12" i="3"/>
  <c r="I8" i="3"/>
  <c r="H8" i="3"/>
  <c r="D8" i="3"/>
  <c r="C8" i="3"/>
  <c r="B8" i="3"/>
  <c r="K5" i="3"/>
  <c r="J5" i="3"/>
  <c r="I5" i="3"/>
  <c r="H5" i="3"/>
  <c r="G5" i="3"/>
  <c r="F5" i="3"/>
  <c r="E5" i="3"/>
  <c r="D5" i="3"/>
  <c r="C5" i="3"/>
  <c r="B5" i="3"/>
  <c r="K3" i="3"/>
  <c r="J3" i="3"/>
  <c r="I3" i="3"/>
  <c r="H3" i="3"/>
  <c r="G3" i="3"/>
  <c r="F3" i="3"/>
  <c r="E3" i="3"/>
  <c r="D3" i="3"/>
  <c r="C3" i="3"/>
  <c r="B3" i="3"/>
  <c r="C37" i="2"/>
  <c r="B5" i="1" s="1"/>
  <c r="N16" i="2"/>
  <c r="N17" i="7" s="1"/>
  <c r="N19" i="7" s="1"/>
  <c r="M16" i="2"/>
  <c r="J8" i="3" s="1"/>
  <c r="L16" i="2"/>
  <c r="L17" i="7" s="1"/>
  <c r="L19" i="7" s="1"/>
  <c r="K16" i="2"/>
  <c r="K17" i="7" s="1"/>
  <c r="K19" i="7" s="1"/>
  <c r="J16" i="2"/>
  <c r="J17" i="7" s="1"/>
  <c r="I16" i="2"/>
  <c r="H16" i="2"/>
  <c r="G16" i="2"/>
  <c r="G17" i="7" s="1"/>
  <c r="G19" i="7" s="1"/>
  <c r="F16" i="2"/>
  <c r="E16" i="2"/>
  <c r="E17" i="7" s="1"/>
  <c r="E19" i="7" s="1"/>
  <c r="N10" i="2"/>
  <c r="M10" i="2"/>
  <c r="L10" i="2"/>
  <c r="K10" i="2"/>
  <c r="J10" i="2"/>
  <c r="I10" i="2"/>
  <c r="H10" i="2"/>
  <c r="G10" i="2"/>
  <c r="F10" i="2"/>
  <c r="E10" i="2"/>
  <c r="N6" i="2"/>
  <c r="M6" i="2"/>
  <c r="L6" i="2"/>
  <c r="K6" i="2"/>
  <c r="J6" i="2"/>
  <c r="I6" i="2"/>
  <c r="H6" i="2"/>
  <c r="G6" i="2"/>
  <c r="F6" i="2"/>
  <c r="E6" i="2"/>
  <c r="N5" i="2"/>
  <c r="M5" i="2"/>
  <c r="L5" i="2"/>
  <c r="K5" i="2"/>
  <c r="J5" i="2"/>
  <c r="I5" i="2"/>
  <c r="H5" i="2"/>
  <c r="G5" i="2"/>
  <c r="F5" i="2"/>
  <c r="E5" i="2"/>
  <c r="E5" i="5" s="1"/>
  <c r="B22" i="1"/>
  <c r="B21" i="1"/>
  <c r="B20" i="1"/>
  <c r="D15" i="1"/>
  <c r="C15" i="1"/>
  <c r="B15" i="1"/>
  <c r="B7" i="1"/>
  <c r="B35" i="8" l="1"/>
  <c r="D33" i="4"/>
  <c r="D39" i="4"/>
  <c r="D37" i="4"/>
  <c r="E32" i="4"/>
  <c r="D38" i="4"/>
  <c r="B40" i="4"/>
  <c r="B41" i="4" s="1"/>
  <c r="B43" i="4" s="1"/>
  <c r="K8" i="3"/>
  <c r="C40" i="4"/>
  <c r="C41" i="4" s="1"/>
  <c r="C43" i="4" s="1"/>
  <c r="B17" i="5"/>
  <c r="B19" i="5" s="1"/>
  <c r="B30" i="5"/>
  <c r="D36" i="4"/>
  <c r="D40" i="4" s="1"/>
  <c r="G21" i="8"/>
  <c r="B12" i="4"/>
  <c r="B13" i="4" s="1"/>
  <c r="B15" i="4" s="1"/>
  <c r="C18" i="4"/>
  <c r="B23" i="4"/>
  <c r="D4" i="4"/>
  <c r="C10" i="4"/>
  <c r="C8" i="4"/>
  <c r="C5" i="4"/>
  <c r="C9" i="4"/>
  <c r="C11" i="4"/>
  <c r="C17" i="5"/>
  <c r="C19" i="5" s="1"/>
  <c r="C30" i="5"/>
  <c r="D17" i="5"/>
  <c r="D19" i="5" s="1"/>
  <c r="F42" i="4"/>
  <c r="D42" i="4"/>
  <c r="J14" i="4"/>
  <c r="K42" i="4"/>
  <c r="E28" i="4"/>
  <c r="J42" i="4"/>
  <c r="D28" i="4"/>
  <c r="I42" i="4"/>
  <c r="C28" i="4"/>
  <c r="C42" i="4"/>
  <c r="K28" i="4"/>
  <c r="H14" i="4"/>
  <c r="J12" i="3"/>
  <c r="B19" i="1"/>
  <c r="I28" i="4"/>
  <c r="F14" i="4"/>
  <c r="H12" i="3"/>
  <c r="B42" i="4"/>
  <c r="J28" i="4"/>
  <c r="G14" i="4"/>
  <c r="I12" i="3"/>
  <c r="B28" i="4"/>
  <c r="B14" i="4"/>
  <c r="D12" i="3"/>
  <c r="H28" i="4"/>
  <c r="E14" i="4"/>
  <c r="G12" i="3"/>
  <c r="G28" i="4"/>
  <c r="D14" i="4"/>
  <c r="F12" i="3"/>
  <c r="F28" i="4"/>
  <c r="C14" i="4"/>
  <c r="E12" i="3"/>
  <c r="C12" i="3"/>
  <c r="E42" i="4"/>
  <c r="H42" i="4"/>
  <c r="K14" i="4"/>
  <c r="I14" i="4"/>
  <c r="K12" i="3"/>
  <c r="G42" i="4"/>
  <c r="E28" i="7"/>
  <c r="E24" i="5"/>
  <c r="F24" i="5"/>
  <c r="F28" i="7"/>
  <c r="F20" i="8" s="1"/>
  <c r="G23" i="5"/>
  <c r="B24" i="4"/>
  <c r="B19" i="4"/>
  <c r="B20" i="4"/>
  <c r="B22" i="4"/>
  <c r="B26" i="4" s="1"/>
  <c r="H17" i="7"/>
  <c r="H19" i="7" s="1"/>
  <c r="E8" i="3"/>
  <c r="F8" i="3"/>
  <c r="I17" i="7"/>
  <c r="I19" i="7" s="1"/>
  <c r="E5" i="8"/>
  <c r="E7" i="8" s="1"/>
  <c r="D34" i="8"/>
  <c r="D35" i="8" s="1"/>
  <c r="E7" i="7"/>
  <c r="E21" i="6"/>
  <c r="E12" i="7" s="1"/>
  <c r="F5" i="5"/>
  <c r="E11" i="5"/>
  <c r="M17" i="7"/>
  <c r="M19" i="7" s="1"/>
  <c r="E10" i="5"/>
  <c r="E28" i="5"/>
  <c r="G8" i="3"/>
  <c r="E7" i="5"/>
  <c r="E22" i="6"/>
  <c r="C34" i="7"/>
  <c r="C36" i="7" s="1"/>
  <c r="E9" i="5"/>
  <c r="E10" i="6"/>
  <c r="E10" i="7" s="1"/>
  <c r="C35" i="8"/>
  <c r="F30" i="6"/>
  <c r="E6" i="5"/>
  <c r="E18" i="6" s="1"/>
  <c r="E8" i="7"/>
  <c r="F20" i="6"/>
  <c r="F5" i="8" l="1"/>
  <c r="F7" i="8" s="1"/>
  <c r="E12" i="5"/>
  <c r="C21" i="5"/>
  <c r="C31" i="5"/>
  <c r="C12" i="4"/>
  <c r="E39" i="4"/>
  <c r="E37" i="4"/>
  <c r="F32" i="4"/>
  <c r="E33" i="4"/>
  <c r="E38" i="4"/>
  <c r="E34" i="4"/>
  <c r="E36" i="4"/>
  <c r="E40" i="4" s="1"/>
  <c r="G24" i="5"/>
  <c r="G28" i="7"/>
  <c r="H23" i="5"/>
  <c r="D11" i="4"/>
  <c r="D8" i="4"/>
  <c r="D5" i="4"/>
  <c r="D9" i="4"/>
  <c r="E4" i="4"/>
  <c r="D10" i="4"/>
  <c r="D6" i="4"/>
  <c r="D41" i="4"/>
  <c r="D43" i="4" s="1"/>
  <c r="E11" i="8"/>
  <c r="E14" i="8" s="1"/>
  <c r="F10" i="8" s="1"/>
  <c r="F14" i="8" s="1"/>
  <c r="G10" i="8" s="1"/>
  <c r="E31" i="6"/>
  <c r="C19" i="4"/>
  <c r="C23" i="4"/>
  <c r="D18" i="4"/>
  <c r="C22" i="4"/>
  <c r="C24" i="4"/>
  <c r="C25" i="4"/>
  <c r="C20" i="4"/>
  <c r="D31" i="5"/>
  <c r="D21" i="5"/>
  <c r="B21" i="5"/>
  <c r="B31" i="5"/>
  <c r="E29" i="5"/>
  <c r="E13" i="5"/>
  <c r="B27" i="4"/>
  <c r="B29" i="4" s="1"/>
  <c r="E20" i="8"/>
  <c r="C13" i="4"/>
  <c r="C15" i="4" s="1"/>
  <c r="G20" i="6"/>
  <c r="F9" i="6"/>
  <c r="F9" i="7" s="1"/>
  <c r="F21" i="6"/>
  <c r="F6" i="5"/>
  <c r="F18" i="6" s="1"/>
  <c r="G5" i="5"/>
  <c r="F11" i="5"/>
  <c r="F28" i="5"/>
  <c r="F9" i="5"/>
  <c r="F10" i="6"/>
  <c r="F10" i="7" s="1"/>
  <c r="F7" i="7"/>
  <c r="C7" i="3" s="1"/>
  <c r="F10" i="5"/>
  <c r="F8" i="7"/>
  <c r="F11" i="8" s="1"/>
  <c r="F22" i="6"/>
  <c r="F19" i="6"/>
  <c r="F12" i="7" s="1"/>
  <c r="E11" i="7"/>
  <c r="B9" i="3" s="1"/>
  <c r="E23" i="6"/>
  <c r="G30" i="6"/>
  <c r="B7" i="3"/>
  <c r="E12" i="6"/>
  <c r="F12" i="6" s="1"/>
  <c r="G21" i="6" l="1"/>
  <c r="G6" i="5"/>
  <c r="G18" i="6" s="1"/>
  <c r="G19" i="6"/>
  <c r="G11" i="5"/>
  <c r="G28" i="5"/>
  <c r="G9" i="5"/>
  <c r="G10" i="6"/>
  <c r="G10" i="7" s="1"/>
  <c r="G7" i="7"/>
  <c r="D7" i="3" s="1"/>
  <c r="G10" i="5"/>
  <c r="G8" i="7"/>
  <c r="G11" i="8" s="1"/>
  <c r="G9" i="6"/>
  <c r="G9" i="7" s="1"/>
  <c r="G7" i="5"/>
  <c r="H5" i="5"/>
  <c r="G22" i="6"/>
  <c r="F11" i="7"/>
  <c r="C9" i="3" s="1"/>
  <c r="F23" i="6"/>
  <c r="C26" i="4"/>
  <c r="D24" i="4"/>
  <c r="D22" i="4"/>
  <c r="D19" i="4"/>
  <c r="D23" i="4"/>
  <c r="E18" i="4"/>
  <c r="D25" i="4"/>
  <c r="D20" i="4"/>
  <c r="H20" i="6"/>
  <c r="E41" i="4"/>
  <c r="E43" i="4" s="1"/>
  <c r="F33" i="4"/>
  <c r="F37" i="4"/>
  <c r="F39" i="4"/>
  <c r="G32" i="4"/>
  <c r="F36" i="4"/>
  <c r="F38" i="4"/>
  <c r="F34" i="4"/>
  <c r="C27" i="4"/>
  <c r="C29" i="4" s="1"/>
  <c r="F31" i="6"/>
  <c r="G14" i="8"/>
  <c r="H10" i="8" s="1"/>
  <c r="E30" i="5"/>
  <c r="B4" i="3"/>
  <c r="B6" i="3" s="1"/>
  <c r="B10" i="3" s="1"/>
  <c r="E17" i="5"/>
  <c r="H30" i="6"/>
  <c r="C26" i="5"/>
  <c r="C25" i="5"/>
  <c r="F7" i="5"/>
  <c r="E8" i="4"/>
  <c r="E12" i="4" s="1"/>
  <c r="E6" i="4"/>
  <c r="E5" i="4"/>
  <c r="E11" i="4"/>
  <c r="F4" i="4"/>
  <c r="E9" i="4"/>
  <c r="E10" i="4"/>
  <c r="D12" i="4"/>
  <c r="G5" i="8"/>
  <c r="G7" i="8" s="1"/>
  <c r="D26" i="5"/>
  <c r="D25" i="5"/>
  <c r="G20" i="8"/>
  <c r="D13" i="4"/>
  <c r="D15" i="4" s="1"/>
  <c r="B25" i="5"/>
  <c r="B26" i="5"/>
  <c r="F12" i="5"/>
  <c r="H24" i="5"/>
  <c r="I23" i="5"/>
  <c r="H28" i="7"/>
  <c r="G37" i="4" l="1"/>
  <c r="H32" i="4"/>
  <c r="G36" i="4"/>
  <c r="G39" i="4"/>
  <c r="G33" i="4"/>
  <c r="G38" i="4"/>
  <c r="G34" i="4"/>
  <c r="F29" i="5"/>
  <c r="F13" i="5"/>
  <c r="F41" i="4"/>
  <c r="F43" i="4" s="1"/>
  <c r="H21" i="6"/>
  <c r="H19" i="6"/>
  <c r="H12" i="7" s="1"/>
  <c r="H11" i="5"/>
  <c r="H28" i="5"/>
  <c r="H9" i="5"/>
  <c r="H7" i="7"/>
  <c r="E7" i="3" s="1"/>
  <c r="H6" i="5"/>
  <c r="H18" i="6" s="1"/>
  <c r="H10" i="6"/>
  <c r="H10" i="7" s="1"/>
  <c r="I5" i="5"/>
  <c r="H10" i="5"/>
  <c r="H8" i="7"/>
  <c r="H11" i="8" s="1"/>
  <c r="H14" i="8" s="1"/>
  <c r="I10" i="8" s="1"/>
  <c r="H9" i="6"/>
  <c r="H9" i="7" s="1"/>
  <c r="H7" i="5"/>
  <c r="H22" i="6"/>
  <c r="B13" i="3"/>
  <c r="H5" i="8"/>
  <c r="H7" i="8" s="1"/>
  <c r="G31" i="6"/>
  <c r="G12" i="5"/>
  <c r="G13" i="5" s="1"/>
  <c r="D27" i="4"/>
  <c r="D29" i="4" s="1"/>
  <c r="D26" i="4"/>
  <c r="G12" i="7"/>
  <c r="G29" i="5"/>
  <c r="I20" i="6"/>
  <c r="I30" i="6"/>
  <c r="G11" i="7"/>
  <c r="D9" i="3" s="1"/>
  <c r="G23" i="6"/>
  <c r="E19" i="4"/>
  <c r="E23" i="4"/>
  <c r="F18" i="4"/>
  <c r="E24" i="4"/>
  <c r="E25" i="4"/>
  <c r="E20" i="4"/>
  <c r="E22" i="4"/>
  <c r="E26" i="4" s="1"/>
  <c r="F11" i="4"/>
  <c r="F9" i="4"/>
  <c r="F6" i="4"/>
  <c r="G4" i="4"/>
  <c r="F8" i="4"/>
  <c r="F10" i="4"/>
  <c r="F5" i="4"/>
  <c r="H20" i="8"/>
  <c r="E18" i="5"/>
  <c r="E19" i="5" s="1"/>
  <c r="J23" i="5"/>
  <c r="I24" i="5"/>
  <c r="I28" i="7"/>
  <c r="E13" i="4"/>
  <c r="E15" i="4" s="1"/>
  <c r="F40" i="4"/>
  <c r="G12" i="6"/>
  <c r="H12" i="6" s="1"/>
  <c r="D4" i="3" l="1"/>
  <c r="D6" i="3" s="1"/>
  <c r="D10" i="3" s="1"/>
  <c r="D13" i="3" s="1"/>
  <c r="G30" i="5"/>
  <c r="E21" i="5"/>
  <c r="E31" i="5"/>
  <c r="E18" i="8"/>
  <c r="E22" i="8" s="1"/>
  <c r="E32" i="6"/>
  <c r="E6" i="7"/>
  <c r="E14" i="7" s="1"/>
  <c r="H31" i="6"/>
  <c r="F13" i="4"/>
  <c r="F15" i="4" s="1"/>
  <c r="G6" i="4"/>
  <c r="H4" i="4"/>
  <c r="G9" i="4"/>
  <c r="G11" i="4"/>
  <c r="G10" i="4"/>
  <c r="G5" i="4"/>
  <c r="G8" i="4"/>
  <c r="J20" i="6"/>
  <c r="F30" i="5"/>
  <c r="C4" i="3"/>
  <c r="C6" i="3" s="1"/>
  <c r="C10" i="3" s="1"/>
  <c r="C13" i="3" s="1"/>
  <c r="H29" i="5"/>
  <c r="H13" i="5"/>
  <c r="J30" i="6"/>
  <c r="F12" i="4"/>
  <c r="G40" i="4"/>
  <c r="G41" i="4" s="1"/>
  <c r="G43" i="4" s="1"/>
  <c r="I6" i="5"/>
  <c r="I18" i="6" s="1"/>
  <c r="I19" i="6"/>
  <c r="I10" i="5"/>
  <c r="I28" i="5"/>
  <c r="I9" i="5"/>
  <c r="I7" i="7"/>
  <c r="F7" i="3" s="1"/>
  <c r="I9" i="6"/>
  <c r="I9" i="7" s="1"/>
  <c r="I10" i="6"/>
  <c r="I10" i="7" s="1"/>
  <c r="J5" i="5"/>
  <c r="I8" i="7"/>
  <c r="I11" i="8" s="1"/>
  <c r="I14" i="8" s="1"/>
  <c r="J10" i="8" s="1"/>
  <c r="I21" i="6"/>
  <c r="I7" i="5"/>
  <c r="I22" i="6"/>
  <c r="I11" i="5"/>
  <c r="H38" i="4"/>
  <c r="H37" i="4"/>
  <c r="H39" i="4"/>
  <c r="I32" i="4"/>
  <c r="H36" i="4"/>
  <c r="H40" i="4" s="1"/>
  <c r="H34" i="4"/>
  <c r="H33" i="4"/>
  <c r="I20" i="8"/>
  <c r="F22" i="4"/>
  <c r="F20" i="4"/>
  <c r="F19" i="4"/>
  <c r="F23" i="4"/>
  <c r="G18" i="4"/>
  <c r="F25" i="4"/>
  <c r="F24" i="4"/>
  <c r="I5" i="8"/>
  <c r="I7" i="8" s="1"/>
  <c r="H23" i="6"/>
  <c r="H11" i="7"/>
  <c r="E9" i="3" s="1"/>
  <c r="K23" i="5"/>
  <c r="J28" i="7"/>
  <c r="J24" i="5"/>
  <c r="E27" i="4"/>
  <c r="E29" i="4" s="1"/>
  <c r="H12" i="5"/>
  <c r="I33" i="4" l="1"/>
  <c r="J32" i="4"/>
  <c r="I39" i="4"/>
  <c r="I34" i="4"/>
  <c r="I36" i="4"/>
  <c r="I37" i="4"/>
  <c r="I38" i="4"/>
  <c r="K28" i="7"/>
  <c r="K24" i="5"/>
  <c r="L23" i="5"/>
  <c r="I23" i="6"/>
  <c r="I11" i="7"/>
  <c r="F9" i="3" s="1"/>
  <c r="J5" i="8"/>
  <c r="J7" i="8" s="1"/>
  <c r="H9" i="4"/>
  <c r="I4" i="4"/>
  <c r="H11" i="4"/>
  <c r="H10" i="4"/>
  <c r="H5" i="4"/>
  <c r="H6" i="4"/>
  <c r="H8" i="4"/>
  <c r="K30" i="6"/>
  <c r="I31" i="6"/>
  <c r="F27" i="4"/>
  <c r="F29" i="4" s="1"/>
  <c r="J19" i="6"/>
  <c r="J12" i="7" s="1"/>
  <c r="J10" i="5"/>
  <c r="J8" i="7"/>
  <c r="J11" i="8" s="1"/>
  <c r="J14" i="8" s="1"/>
  <c r="K10" i="8" s="1"/>
  <c r="J9" i="5"/>
  <c r="J12" i="5" s="1"/>
  <c r="J7" i="7"/>
  <c r="G7" i="3" s="1"/>
  <c r="J9" i="6"/>
  <c r="J9" i="7" s="1"/>
  <c r="J10" i="6"/>
  <c r="J10" i="7" s="1"/>
  <c r="K5" i="5"/>
  <c r="J22" i="6"/>
  <c r="J21" i="6"/>
  <c r="J28" i="5"/>
  <c r="J6" i="5"/>
  <c r="J18" i="6" s="1"/>
  <c r="J11" i="5"/>
  <c r="E29" i="7"/>
  <c r="F17" i="8"/>
  <c r="E34" i="8"/>
  <c r="K20" i="6"/>
  <c r="I29" i="5"/>
  <c r="I12" i="5"/>
  <c r="I13" i="5" s="1"/>
  <c r="E25" i="5"/>
  <c r="E26" i="5"/>
  <c r="I12" i="6"/>
  <c r="H41" i="4"/>
  <c r="H43" i="4" s="1"/>
  <c r="G12" i="4"/>
  <c r="H18" i="4"/>
  <c r="G24" i="4"/>
  <c r="G25" i="4"/>
  <c r="G23" i="4"/>
  <c r="G19" i="4"/>
  <c r="G20" i="4"/>
  <c r="G22" i="4"/>
  <c r="G26" i="4" s="1"/>
  <c r="E4" i="3"/>
  <c r="E6" i="3" s="1"/>
  <c r="E10" i="3" s="1"/>
  <c r="E13" i="3" s="1"/>
  <c r="H30" i="5"/>
  <c r="F26" i="4"/>
  <c r="E34" i="6"/>
  <c r="E36" i="6" s="1"/>
  <c r="J20" i="8"/>
  <c r="I12" i="7"/>
  <c r="G13" i="4"/>
  <c r="G15" i="4" s="1"/>
  <c r="F4" i="3" l="1"/>
  <c r="F6" i="3" s="1"/>
  <c r="F10" i="3" s="1"/>
  <c r="F13" i="3" s="1"/>
  <c r="I30" i="5"/>
  <c r="E35" i="8"/>
  <c r="L20" i="6"/>
  <c r="M23" i="5"/>
  <c r="L28" i="7"/>
  <c r="L24" i="5"/>
  <c r="K5" i="8"/>
  <c r="K7" i="8" s="1"/>
  <c r="E24" i="6"/>
  <c r="E31" i="7"/>
  <c r="E34" i="7" s="1"/>
  <c r="E36" i="7" s="1"/>
  <c r="K20" i="8"/>
  <c r="I40" i="4"/>
  <c r="H12" i="4"/>
  <c r="H20" i="4"/>
  <c r="H24" i="4"/>
  <c r="H23" i="4"/>
  <c r="I18" i="4"/>
  <c r="H25" i="4"/>
  <c r="H19" i="4"/>
  <c r="H22" i="4"/>
  <c r="H13" i="4"/>
  <c r="H15" i="4" s="1"/>
  <c r="J38" i="4"/>
  <c r="J36" i="4"/>
  <c r="J33" i="4"/>
  <c r="J39" i="4"/>
  <c r="K32" i="4"/>
  <c r="J34" i="4"/>
  <c r="J37" i="4"/>
  <c r="G27" i="4"/>
  <c r="G29" i="4" s="1"/>
  <c r="J31" i="6"/>
  <c r="I41" i="4"/>
  <c r="I43" i="4" s="1"/>
  <c r="L30" i="6"/>
  <c r="J23" i="6"/>
  <c r="J11" i="7"/>
  <c r="G9" i="3" s="1"/>
  <c r="J7" i="5"/>
  <c r="J12" i="6"/>
  <c r="K12" i="6" s="1"/>
  <c r="K8" i="7"/>
  <c r="K11" i="8" s="1"/>
  <c r="K14" i="8" s="1"/>
  <c r="L10" i="8" s="1"/>
  <c r="K10" i="6"/>
  <c r="K10" i="7" s="1"/>
  <c r="K7" i="5"/>
  <c r="K7" i="7"/>
  <c r="H7" i="3" s="1"/>
  <c r="K9" i="6"/>
  <c r="K9" i="7" s="1"/>
  <c r="K21" i="6"/>
  <c r="K22" i="6"/>
  <c r="K9" i="5"/>
  <c r="L5" i="5"/>
  <c r="K19" i="6"/>
  <c r="K10" i="5"/>
  <c r="K28" i="5"/>
  <c r="K6" i="5"/>
  <c r="K18" i="6" s="1"/>
  <c r="K11" i="5"/>
  <c r="I11" i="4"/>
  <c r="I9" i="4"/>
  <c r="J4" i="4"/>
  <c r="I5" i="4"/>
  <c r="I10" i="4"/>
  <c r="I6" i="4"/>
  <c r="I8" i="4"/>
  <c r="E7" i="6" l="1"/>
  <c r="F35" i="7"/>
  <c r="J41" i="4"/>
  <c r="J43" i="4" s="1"/>
  <c r="F15" i="5"/>
  <c r="E40" i="6"/>
  <c r="E27" i="6"/>
  <c r="E37" i="6" s="1"/>
  <c r="L5" i="8"/>
  <c r="L7" i="8" s="1"/>
  <c r="I12" i="4"/>
  <c r="K29" i="5"/>
  <c r="K13" i="5"/>
  <c r="J40" i="4"/>
  <c r="L12" i="6"/>
  <c r="H26" i="4"/>
  <c r="H27" i="4" s="1"/>
  <c r="H29" i="4" s="1"/>
  <c r="L20" i="8"/>
  <c r="J13" i="5"/>
  <c r="J29" i="5"/>
  <c r="M28" i="7"/>
  <c r="N23" i="5"/>
  <c r="M24" i="5"/>
  <c r="I13" i="4"/>
  <c r="I15" i="4" s="1"/>
  <c r="K12" i="7"/>
  <c r="K31" i="6"/>
  <c r="L10" i="5"/>
  <c r="L8" i="7"/>
  <c r="L11" i="8" s="1"/>
  <c r="L14" i="8" s="1"/>
  <c r="M10" i="8" s="1"/>
  <c r="L10" i="6"/>
  <c r="L10" i="7" s="1"/>
  <c r="L7" i="5"/>
  <c r="L9" i="6"/>
  <c r="L9" i="7" s="1"/>
  <c r="L21" i="6"/>
  <c r="L6" i="5"/>
  <c r="L18" i="6" s="1"/>
  <c r="L7" i="7"/>
  <c r="I7" i="3" s="1"/>
  <c r="L19" i="6"/>
  <c r="L9" i="5"/>
  <c r="M5" i="5"/>
  <c r="L22" i="6"/>
  <c r="L11" i="5"/>
  <c r="L28" i="5"/>
  <c r="K11" i="7"/>
  <c r="H9" i="3" s="1"/>
  <c r="K23" i="6"/>
  <c r="M30" i="6"/>
  <c r="K12" i="5"/>
  <c r="J5" i="4"/>
  <c r="J11" i="4"/>
  <c r="J9" i="4"/>
  <c r="K4" i="4"/>
  <c r="J6" i="4"/>
  <c r="J10" i="4"/>
  <c r="J8" i="4"/>
  <c r="J18" i="4"/>
  <c r="I24" i="4"/>
  <c r="I22" i="4"/>
  <c r="I23" i="4"/>
  <c r="I25" i="4"/>
  <c r="I20" i="4"/>
  <c r="I19" i="4"/>
  <c r="M20" i="6"/>
  <c r="K33" i="4"/>
  <c r="K41" i="4" s="1"/>
  <c r="K36" i="4"/>
  <c r="K40" i="4" s="1"/>
  <c r="K34" i="4"/>
  <c r="D14" i="1"/>
  <c r="K38" i="4"/>
  <c r="K37" i="4"/>
  <c r="K39" i="4"/>
  <c r="N20" i="6" l="1"/>
  <c r="N30" i="6"/>
  <c r="B14" i="1"/>
  <c r="K11" i="4"/>
  <c r="K9" i="4"/>
  <c r="K6" i="4"/>
  <c r="K8" i="4"/>
  <c r="K5" i="4"/>
  <c r="K10" i="4"/>
  <c r="K30" i="5"/>
  <c r="H4" i="3"/>
  <c r="H6" i="3" s="1"/>
  <c r="H10" i="3" s="1"/>
  <c r="H13" i="3" s="1"/>
  <c r="L13" i="5"/>
  <c r="L29" i="5"/>
  <c r="D48" i="4"/>
  <c r="D49" i="4" s="1"/>
  <c r="K43" i="4"/>
  <c r="D47" i="4" s="1"/>
  <c r="D50" i="4" s="1"/>
  <c r="D51" i="4" s="1"/>
  <c r="D52" i="4" s="1"/>
  <c r="L31" i="6"/>
  <c r="M8" i="7"/>
  <c r="M11" i="8" s="1"/>
  <c r="M14" i="8" s="1"/>
  <c r="N10" i="8" s="1"/>
  <c r="M22" i="6"/>
  <c r="M21" i="6"/>
  <c r="M6" i="5"/>
  <c r="M18" i="6" s="1"/>
  <c r="M19" i="6"/>
  <c r="M12" i="7" s="1"/>
  <c r="M9" i="5"/>
  <c r="M11" i="5"/>
  <c r="M7" i="5"/>
  <c r="M7" i="7"/>
  <c r="J7" i="3" s="1"/>
  <c r="N5" i="5"/>
  <c r="M9" i="6"/>
  <c r="M9" i="7" s="1"/>
  <c r="M28" i="5"/>
  <c r="M10" i="5"/>
  <c r="M10" i="6"/>
  <c r="M10" i="7" s="1"/>
  <c r="M5" i="8"/>
  <c r="M7" i="8" s="1"/>
  <c r="N28" i="7"/>
  <c r="N24" i="5"/>
  <c r="I26" i="4"/>
  <c r="I27" i="4" s="1"/>
  <c r="I29" i="4" s="1"/>
  <c r="M20" i="8"/>
  <c r="L12" i="7"/>
  <c r="I9" i="3" s="1"/>
  <c r="E11" i="6"/>
  <c r="E15" i="6" s="1"/>
  <c r="E39" i="6" s="1"/>
  <c r="F16" i="5"/>
  <c r="F17" i="5" s="1"/>
  <c r="J30" i="5"/>
  <c r="G4" i="3"/>
  <c r="G6" i="3" s="1"/>
  <c r="G10" i="3" s="1"/>
  <c r="G13" i="3" s="1"/>
  <c r="L12" i="5"/>
  <c r="J25" i="4"/>
  <c r="J22" i="4"/>
  <c r="J23" i="4"/>
  <c r="K18" i="4"/>
  <c r="J20" i="4"/>
  <c r="J24" i="4"/>
  <c r="J19" i="4"/>
  <c r="J12" i="4"/>
  <c r="J13" i="4" s="1"/>
  <c r="J15" i="4" s="1"/>
  <c r="L11" i="7"/>
  <c r="L23" i="6"/>
  <c r="F18" i="5" l="1"/>
  <c r="F19" i="5"/>
  <c r="L30" i="5"/>
  <c r="I4" i="3"/>
  <c r="I6" i="3" s="1"/>
  <c r="I10" i="3" s="1"/>
  <c r="I13" i="3" s="1"/>
  <c r="M29" i="5"/>
  <c r="M12" i="5"/>
  <c r="M13" i="5" s="1"/>
  <c r="K12" i="4"/>
  <c r="K13" i="4" s="1"/>
  <c r="J27" i="4"/>
  <c r="J29" i="4" s="1"/>
  <c r="N10" i="6"/>
  <c r="N10" i="7" s="1"/>
  <c r="N22" i="6"/>
  <c r="N21" i="6"/>
  <c r="N6" i="5"/>
  <c r="N18" i="6" s="1"/>
  <c r="N19" i="6"/>
  <c r="N9" i="5"/>
  <c r="N9" i="6"/>
  <c r="N9" i="7" s="1"/>
  <c r="N7" i="7"/>
  <c r="K7" i="3" s="1"/>
  <c r="N11" i="5"/>
  <c r="N8" i="7"/>
  <c r="N11" i="8" s="1"/>
  <c r="N14" i="8" s="1"/>
  <c r="N28" i="5"/>
  <c r="N10" i="5"/>
  <c r="N20" i="8"/>
  <c r="D53" i="4"/>
  <c r="D13" i="1" s="1"/>
  <c r="D12" i="1"/>
  <c r="M11" i="7"/>
  <c r="J9" i="3" s="1"/>
  <c r="M23" i="6"/>
  <c r="J26" i="4"/>
  <c r="M12" i="6"/>
  <c r="M31" i="6"/>
  <c r="N5" i="8"/>
  <c r="N7" i="8" s="1"/>
  <c r="K22" i="4"/>
  <c r="K20" i="4"/>
  <c r="K25" i="4"/>
  <c r="K24" i="4"/>
  <c r="K19" i="4"/>
  <c r="K23" i="4"/>
  <c r="C14" i="1"/>
  <c r="D54" i="4"/>
  <c r="D16" i="1" s="1"/>
  <c r="B48" i="4" l="1"/>
  <c r="B49" i="4" s="1"/>
  <c r="K15" i="4"/>
  <c r="B47" i="4" s="1"/>
  <c r="B50" i="4" s="1"/>
  <c r="B51" i="4" s="1"/>
  <c r="B52" i="4" s="1"/>
  <c r="M30" i="5"/>
  <c r="J4" i="3"/>
  <c r="J6" i="3" s="1"/>
  <c r="J10" i="3" s="1"/>
  <c r="J13" i="3" s="1"/>
  <c r="N11" i="7"/>
  <c r="K9" i="3" s="1"/>
  <c r="N23" i="6"/>
  <c r="N7" i="5"/>
  <c r="K26" i="4"/>
  <c r="K27" i="4" s="1"/>
  <c r="F31" i="5"/>
  <c r="F18" i="8"/>
  <c r="F22" i="8" s="1"/>
  <c r="F21" i="5"/>
  <c r="F6" i="7"/>
  <c r="F14" i="7" s="1"/>
  <c r="F32" i="6"/>
  <c r="N31" i="6"/>
  <c r="N12" i="5"/>
  <c r="N12" i="6"/>
  <c r="N12" i="7"/>
  <c r="K29" i="4" l="1"/>
  <c r="C47" i="4" s="1"/>
  <c r="C48" i="4"/>
  <c r="C49" i="4" s="1"/>
  <c r="F34" i="6"/>
  <c r="F36" i="6" s="1"/>
  <c r="G17" i="8"/>
  <c r="F34" i="8"/>
  <c r="B53" i="4"/>
  <c r="B13" i="1" s="1"/>
  <c r="B12" i="1"/>
  <c r="F29" i="7"/>
  <c r="F25" i="5"/>
  <c r="F26" i="5"/>
  <c r="N29" i="5"/>
  <c r="N13" i="5"/>
  <c r="B54" i="4"/>
  <c r="B16" i="1" s="1"/>
  <c r="N30" i="5" l="1"/>
  <c r="K4" i="3"/>
  <c r="K6" i="3" s="1"/>
  <c r="K10" i="3" s="1"/>
  <c r="F31" i="7"/>
  <c r="F34" i="7" s="1"/>
  <c r="F36" i="7" s="1"/>
  <c r="F24" i="6"/>
  <c r="C54" i="4"/>
  <c r="C16" i="1" s="1"/>
  <c r="F35" i="8"/>
  <c r="C50" i="4"/>
  <c r="C51" i="4" s="1"/>
  <c r="C52" i="4" s="1"/>
  <c r="C12" i="1" l="1"/>
  <c r="C53" i="4"/>
  <c r="C13" i="1" s="1"/>
  <c r="G15" i="5"/>
  <c r="F40" i="6"/>
  <c r="F27" i="6"/>
  <c r="F37" i="6" s="1"/>
  <c r="F7" i="6"/>
  <c r="G35" i="7"/>
  <c r="B20" i="3"/>
  <c r="B21" i="3"/>
  <c r="B22" i="3" s="1"/>
  <c r="K13" i="3"/>
  <c r="B19" i="3" s="1"/>
  <c r="B23" i="3" s="1"/>
  <c r="B27" i="3" s="1"/>
  <c r="B29" i="3" s="1"/>
  <c r="B41" i="3"/>
  <c r="B38" i="3"/>
  <c r="B39" i="3"/>
  <c r="B40" i="3"/>
  <c r="C39" i="3"/>
  <c r="D42" i="3"/>
  <c r="E38" i="3"/>
  <c r="F38" i="3"/>
  <c r="B34" i="3"/>
  <c r="F40" i="3"/>
  <c r="E40" i="3"/>
  <c r="E42" i="3"/>
  <c r="C42" i="3"/>
  <c r="B42" i="3"/>
  <c r="F39" i="3"/>
  <c r="F41" i="3"/>
  <c r="E41" i="3"/>
  <c r="D39" i="3"/>
  <c r="D41" i="3"/>
  <c r="D38" i="3"/>
  <c r="F42" i="3"/>
  <c r="D40" i="3"/>
  <c r="C40" i="3"/>
  <c r="C38" i="3"/>
  <c r="E39" i="3"/>
  <c r="C41" i="3"/>
  <c r="G16" i="5" l="1"/>
  <c r="F11" i="6"/>
  <c r="F15" i="6" s="1"/>
  <c r="F39" i="6" s="1"/>
  <c r="G17" i="5"/>
  <c r="B32" i="3"/>
  <c r="B31" i="3"/>
  <c r="B8" i="1" s="1"/>
  <c r="B6" i="1"/>
  <c r="G18" i="5" l="1"/>
  <c r="G19" i="5" s="1"/>
  <c r="G18" i="8" l="1"/>
  <c r="G22" i="8" s="1"/>
  <c r="G21" i="5"/>
  <c r="G6" i="7"/>
  <c r="G14" i="7" s="1"/>
  <c r="G31" i="5"/>
  <c r="G32" i="6"/>
  <c r="G34" i="6" l="1"/>
  <c r="G36" i="6" s="1"/>
  <c r="G26" i="5"/>
  <c r="G25" i="5"/>
  <c r="G29" i="7"/>
  <c r="H17" i="8"/>
  <c r="G34" i="8"/>
  <c r="G31" i="7" l="1"/>
  <c r="G34" i="7" s="1"/>
  <c r="G36" i="7" s="1"/>
  <c r="G24" i="6"/>
  <c r="G35" i="8"/>
  <c r="G40" i="6" l="1"/>
  <c r="H15" i="5"/>
  <c r="G27" i="6"/>
  <c r="G37" i="6" s="1"/>
  <c r="H35" i="7"/>
  <c r="G7" i="6"/>
  <c r="H16" i="5" l="1"/>
  <c r="G11" i="6"/>
  <c r="G15" i="6" s="1"/>
  <c r="G39" i="6" s="1"/>
  <c r="H17" i="5"/>
  <c r="H18" i="5" l="1"/>
  <c r="H19" i="5" s="1"/>
  <c r="H18" i="8" l="1"/>
  <c r="H22" i="8" s="1"/>
  <c r="H21" i="5"/>
  <c r="H6" i="7"/>
  <c r="H14" i="7" s="1"/>
  <c r="H31" i="5"/>
  <c r="H32" i="6"/>
  <c r="H34" i="6" l="1"/>
  <c r="H36" i="6" s="1"/>
  <c r="H35" i="8" s="1"/>
  <c r="H25" i="5"/>
  <c r="H26" i="5"/>
  <c r="H29" i="7"/>
  <c r="I17" i="8"/>
  <c r="H34" i="8"/>
  <c r="H31" i="7" l="1"/>
  <c r="H34" i="7" s="1"/>
  <c r="H36" i="7" s="1"/>
  <c r="H24" i="6"/>
  <c r="H40" i="6" l="1"/>
  <c r="I15" i="5"/>
  <c r="H27" i="6"/>
  <c r="H37" i="6" s="1"/>
  <c r="H7" i="6"/>
  <c r="I35" i="7"/>
  <c r="H11" i="6" l="1"/>
  <c r="H15" i="6" s="1"/>
  <c r="H39" i="6" s="1"/>
  <c r="I16" i="5"/>
  <c r="I17" i="5"/>
  <c r="I18" i="5" l="1"/>
  <c r="I19" i="5"/>
  <c r="I21" i="5" l="1"/>
  <c r="I6" i="7"/>
  <c r="I14" i="7" s="1"/>
  <c r="I18" i="8"/>
  <c r="I22" i="8" s="1"/>
  <c r="I31" i="5"/>
  <c r="I32" i="6"/>
  <c r="I34" i="6" l="1"/>
  <c r="I36" i="6" s="1"/>
  <c r="J17" i="8"/>
  <c r="I34" i="8"/>
  <c r="I29" i="7"/>
  <c r="I26" i="5"/>
  <c r="I25" i="5"/>
  <c r="I31" i="7" l="1"/>
  <c r="I34" i="7" s="1"/>
  <c r="I36" i="7" s="1"/>
  <c r="I24" i="6"/>
  <c r="I35" i="8"/>
  <c r="J15" i="5" l="1"/>
  <c r="I40" i="6"/>
  <c r="I27" i="6"/>
  <c r="I37" i="6" s="1"/>
  <c r="J35" i="7"/>
  <c r="I7" i="6"/>
  <c r="J16" i="5" l="1"/>
  <c r="I11" i="6"/>
  <c r="I15" i="6" s="1"/>
  <c r="I39" i="6" s="1"/>
  <c r="J17" i="5"/>
  <c r="J18" i="5" l="1"/>
  <c r="J19" i="5" s="1"/>
  <c r="J21" i="5" l="1"/>
  <c r="J6" i="7"/>
  <c r="J14" i="7" s="1"/>
  <c r="J18" i="8"/>
  <c r="J22" i="8" s="1"/>
  <c r="J31" i="5"/>
  <c r="J32" i="6"/>
  <c r="J34" i="6" l="1"/>
  <c r="J36" i="6" s="1"/>
  <c r="K17" i="8"/>
  <c r="J34" i="8"/>
  <c r="J29" i="7"/>
  <c r="J26" i="5"/>
  <c r="J25" i="5"/>
  <c r="J31" i="7" l="1"/>
  <c r="J34" i="7" s="1"/>
  <c r="J36" i="7" s="1"/>
  <c r="J24" i="6"/>
  <c r="J35" i="8"/>
  <c r="K15" i="5" l="1"/>
  <c r="J40" i="6"/>
  <c r="J27" i="6"/>
  <c r="J37" i="6" s="1"/>
  <c r="K35" i="7"/>
  <c r="J7" i="6"/>
  <c r="K16" i="5" l="1"/>
  <c r="J11" i="6"/>
  <c r="J15" i="6" s="1"/>
  <c r="J39" i="6" s="1"/>
  <c r="K17" i="5"/>
  <c r="K18" i="5" l="1"/>
  <c r="K19" i="5"/>
  <c r="K21" i="5" l="1"/>
  <c r="K6" i="7"/>
  <c r="K14" i="7" s="1"/>
  <c r="K31" i="5"/>
  <c r="K18" i="8"/>
  <c r="K22" i="8" s="1"/>
  <c r="K32" i="6"/>
  <c r="K34" i="6" l="1"/>
  <c r="K36" i="6" s="1"/>
  <c r="K35" i="8" s="1"/>
  <c r="L17" i="8"/>
  <c r="K34" i="8"/>
  <c r="K29" i="7"/>
  <c r="K26" i="5"/>
  <c r="K25" i="5"/>
  <c r="K31" i="7" l="1"/>
  <c r="K34" i="7" s="1"/>
  <c r="K36" i="7" s="1"/>
  <c r="K24" i="6"/>
  <c r="K40" i="6" l="1"/>
  <c r="L15" i="5"/>
  <c r="K27" i="6"/>
  <c r="K37" i="6" s="1"/>
  <c r="K7" i="6"/>
  <c r="L35" i="7"/>
  <c r="L16" i="5" l="1"/>
  <c r="K11" i="6"/>
  <c r="K15" i="6" s="1"/>
  <c r="K39" i="6" s="1"/>
  <c r="L17" i="5"/>
  <c r="L18" i="5" l="1"/>
  <c r="L19" i="5"/>
  <c r="L6" i="7" l="1"/>
  <c r="L14" i="7" s="1"/>
  <c r="L31" i="5"/>
  <c r="L18" i="8"/>
  <c r="L22" i="8" s="1"/>
  <c r="L21" i="5"/>
  <c r="L32" i="6"/>
  <c r="L34" i="6" l="1"/>
  <c r="L36" i="6" s="1"/>
  <c r="L35" i="8" s="1"/>
  <c r="L25" i="5"/>
  <c r="L26" i="5"/>
  <c r="M17" i="8"/>
  <c r="L34" i="8"/>
  <c r="L29" i="7"/>
  <c r="L31" i="7" l="1"/>
  <c r="L34" i="7" s="1"/>
  <c r="L36" i="7" s="1"/>
  <c r="L24" i="6"/>
  <c r="L7" i="6" l="1"/>
  <c r="M35" i="7"/>
  <c r="L40" i="6"/>
  <c r="M15" i="5"/>
  <c r="L27" i="6"/>
  <c r="L37" i="6" s="1"/>
  <c r="M16" i="5" l="1"/>
  <c r="M17" i="5" s="1"/>
  <c r="L11" i="6"/>
  <c r="L15" i="6" s="1"/>
  <c r="L39" i="6" s="1"/>
  <c r="M18" i="5" l="1"/>
  <c r="M19" i="5" s="1"/>
  <c r="M6" i="7" l="1"/>
  <c r="M14" i="7" s="1"/>
  <c r="M31" i="5"/>
  <c r="M18" i="8"/>
  <c r="M22" i="8" s="1"/>
  <c r="M21" i="5"/>
  <c r="M32" i="6"/>
  <c r="M34" i="6" l="1"/>
  <c r="M36" i="6" s="1"/>
  <c r="M26" i="5"/>
  <c r="M25" i="5"/>
  <c r="N17" i="8"/>
  <c r="M34" i="8"/>
  <c r="M29" i="7"/>
  <c r="M31" i="7" l="1"/>
  <c r="M34" i="7" s="1"/>
  <c r="M36" i="7" s="1"/>
  <c r="M24" i="6"/>
  <c r="M35" i="8"/>
  <c r="M40" i="6" l="1"/>
  <c r="N15" i="5"/>
  <c r="M27" i="6"/>
  <c r="M37" i="6" s="1"/>
  <c r="M7" i="6"/>
  <c r="N35" i="7"/>
  <c r="N16" i="5" l="1"/>
  <c r="M11" i="6"/>
  <c r="M15" i="6" s="1"/>
  <c r="M39" i="6" s="1"/>
  <c r="N17" i="5"/>
  <c r="N18" i="5" l="1"/>
  <c r="N19" i="5" s="1"/>
  <c r="N6" i="7" l="1"/>
  <c r="N14" i="7" s="1"/>
  <c r="N31" i="5"/>
  <c r="N18" i="8"/>
  <c r="N22" i="8" s="1"/>
  <c r="N34" i="8" s="1"/>
  <c r="N21" i="5"/>
  <c r="N32" i="6"/>
  <c r="N34" i="6" s="1"/>
  <c r="N36" i="6" s="1"/>
  <c r="N35" i="8" s="1"/>
  <c r="N25" i="5" l="1"/>
  <c r="N26" i="5"/>
  <c r="N29" i="7"/>
  <c r="N31" i="7" l="1"/>
  <c r="N34" i="7" s="1"/>
  <c r="N36" i="7" s="1"/>
  <c r="N7" i="6" s="1"/>
  <c r="N11" i="6" s="1"/>
  <c r="N15" i="6" s="1"/>
  <c r="N24" i="6"/>
  <c r="N40" i="6" l="1"/>
  <c r="N27" i="6"/>
  <c r="N37" i="6" s="1"/>
  <c r="N39" i="6"/>
</calcChain>
</file>

<file path=xl/sharedStrings.xml><?xml version="1.0" encoding="utf-8"?>
<sst xmlns="http://schemas.openxmlformats.org/spreadsheetml/2006/main" count="349" uniqueCount="223">
  <si>
    <t>Oracle Corporation — Integrated Financial Model &amp; DCF Valuation</t>
  </si>
  <si>
    <t>$ in millions, except per-share · FY ends May 31 · three-statement model linked to a scenario DCF</t>
  </si>
  <si>
    <t>Headline (active scenario)</t>
  </si>
  <si>
    <t>Active scenario</t>
  </si>
  <si>
    <t>Implied value per share</t>
  </si>
  <si>
    <t>Current share price</t>
  </si>
  <si>
    <t>Upside / (downside)</t>
  </si>
  <si>
    <t>Scenario Comparison</t>
  </si>
  <si>
    <t>Metric</t>
  </si>
  <si>
    <t>Bear</t>
  </si>
  <si>
    <t>Base</t>
  </si>
  <si>
    <t>Bull</t>
  </si>
  <si>
    <t>Implied value / share</t>
  </si>
  <si>
    <t>Revenue FY2036 ($mm)</t>
  </si>
  <si>
    <t>Capex FY2027 ($mm)</t>
  </si>
  <si>
    <t>Terminal value % of EV</t>
  </si>
  <si>
    <t>Key Assumptions</t>
  </si>
  <si>
    <t>WACC</t>
  </si>
  <si>
    <t>Terminal growth</t>
  </si>
  <si>
    <t>Effective tax rate</t>
  </si>
  <si>
    <t>Diluted shares (mm)</t>
  </si>
  <si>
    <t>Stress Test — Bull (AI supercycle, ~$95bn FY2027 capex)</t>
  </si>
  <si>
    <t>The balance sheet stays in balance every year, but cash turns NEGATIVE (about -$15bn to -$16bn in FY2028-FY2029) under the base financing plan — Oracle would need roughly $16-17bn of ADDITIONAL debt or equity to fund the buildout.</t>
  </si>
  <si>
    <t>This corroborates the two headline risks: FY2027 capex / external financing, and potential share dilution. Cash rebuilds after FY2030 as FCF turns positive.</t>
  </si>
  <si>
    <t>How to Use</t>
  </si>
  <si>
    <t>Scenario switch: Assumptions tab, cell B37 (1=Bear, 2=Base, 3=Bull) — drives the entire model. WACC &amp; terminal growth: DCF tab, cells B17 / B18.</t>
  </si>
  <si>
    <t>Tabs: Cover · Assumptions · DCF (active-scenario valuation) · Scenarios (Bear/Base/Bull) · Income Statement · Balance Sheet · Cash Flow · Stockholders Equity.</t>
  </si>
  <si>
    <t>Capital Allocation</t>
  </si>
  <si>
    <t>Excess free cash above a $15bn minimum (Assumptions!B27) is swept to debt paydown. In the base case Oracle funds the buildout, holds a thin buffer through the FY2029 capex trough, then fully deleverages by FY2036. Interest is computed on opening debt to keep the sweep non-circular.</t>
  </si>
  <si>
    <t>Oracle Corporation - Model Assumptions</t>
  </si>
  <si>
    <t>Forecast drivers. Edit yellow cells. $ in millions except per-share. FY ends May 31.</t>
  </si>
  <si>
    <t>FY2024A</t>
  </si>
  <si>
    <t>FY2025A</t>
  </si>
  <si>
    <t>FY2026A</t>
  </si>
  <si>
    <t>FY2027E</t>
  </si>
  <si>
    <t>FY2028E</t>
  </si>
  <si>
    <t>FY2029E</t>
  </si>
  <si>
    <t>FY2030E</t>
  </si>
  <si>
    <t>FY2031E</t>
  </si>
  <si>
    <t>FY2032E</t>
  </si>
  <si>
    <t>FY2033E</t>
  </si>
  <si>
    <t>FY2034E</t>
  </si>
  <si>
    <t>FY2035E</t>
  </si>
  <si>
    <t>FY2036E</t>
  </si>
  <si>
    <t>Income statement drivers</t>
  </si>
  <si>
    <t>Revenue growth %</t>
  </si>
  <si>
    <t>Gross margin %</t>
  </si>
  <si>
    <t>SG&amp;A % of revenue</t>
  </si>
  <si>
    <t>R&amp;D % of revenue</t>
  </si>
  <si>
    <t>Amort. of intangibles &amp; other opex % of rev</t>
  </si>
  <si>
    <t>D&amp;A (cash flow) % of revenue</t>
  </si>
  <si>
    <t>Stock-based comp % of revenue</t>
  </si>
  <si>
    <t>Interest rate on average debt</t>
  </si>
  <si>
    <t>Other income yield on prior-year cash</t>
  </si>
  <si>
    <t>Balance sheet &amp; capex drivers</t>
  </si>
  <si>
    <t>Capital expenditures ($mm)</t>
  </si>
  <si>
    <t>Days sales outstanding (DSO)</t>
  </si>
  <si>
    <t>Accounts payable % of (COGS + capex)</t>
  </si>
  <si>
    <t>Other current assets % of revenue</t>
  </si>
  <si>
    <t>Accrued compensation % of revenue</t>
  </si>
  <si>
    <t>Deferred revenue % of revenue</t>
  </si>
  <si>
    <t>Other current liabilities % of revenue</t>
  </si>
  <si>
    <t>Lease liability growth %</t>
  </si>
  <si>
    <t>Financing drivers</t>
  </si>
  <si>
    <t>Long-term debt issuance ($mm)</t>
  </si>
  <si>
    <t>Long-term debt repayment ($mm)</t>
  </si>
  <si>
    <t>Minimum cash target ($mm) — sweep excess to debt paydown</t>
  </si>
  <si>
    <t>Dividends per share ($)</t>
  </si>
  <si>
    <t>Preferred dividends ($mm)</t>
  </si>
  <si>
    <t>Share repurchases ($mm)</t>
  </si>
  <si>
    <t>Common stock issuance ($mm)</t>
  </si>
  <si>
    <t>Basic share count growth %</t>
  </si>
  <si>
    <t>Diluted less basic shares (mm)</t>
  </si>
  <si>
    <t>Legend: yellow/blue = editable inputs; black = same-sheet formulas; green = cross-sheet links. Historical source: Oracle Corp. Form 10-K FY2026 (ended May 31, 2026), SEC EDGAR. Forecast assumptions are illustrative, calibrated to FY2026 actual ratios.</t>
  </si>
  <si>
    <t>Scenario switch (1=Bear, 2=Base, 3=Bull)</t>
  </si>
  <si>
    <t>Scenario driver blocks — the four live drivers above switch between these via CHOOSE</t>
  </si>
  <si>
    <t>BEAR</t>
  </si>
  <si>
    <t>D&amp;A % of revenue</t>
  </si>
  <si>
    <t>Capex ($mm)</t>
  </si>
  <si>
    <t>BASE</t>
  </si>
  <si>
    <t>BULL</t>
  </si>
  <si>
    <t>Oracle Corporation — Integrated DCF Valuation</t>
  </si>
  <si>
    <t>$ in millions, except per-share. Unlevered FCF is pulled directly from the three-statement model. FY ends May 31.</t>
  </si>
  <si>
    <t>Operating income (EBIT)</t>
  </si>
  <si>
    <t>NOPAT</t>
  </si>
  <si>
    <t>D&amp;A</t>
  </si>
  <si>
    <t>Capital expenditures</t>
  </si>
  <si>
    <t>Change in net working capital</t>
  </si>
  <si>
    <t>Unlevered free cash flow</t>
  </si>
  <si>
    <t>Discount period</t>
  </si>
  <si>
    <t>Discount factor</t>
  </si>
  <si>
    <t>PV of unlevered FCF</t>
  </si>
  <si>
    <t>Enterprise Value &amp; Equity Bridge</t>
  </si>
  <si>
    <t>WACC (input)</t>
  </si>
  <si>
    <t>Terminal growth (input)</t>
  </si>
  <si>
    <t>PV of explicit FCF (FY2027-FY2036)</t>
  </si>
  <si>
    <t>Terminal-year UFCF (FY2036)</t>
  </si>
  <si>
    <t>Terminal value</t>
  </si>
  <si>
    <t>PV of terminal value</t>
  </si>
  <si>
    <t>Enterprise value</t>
  </si>
  <si>
    <t>Less: total debt (ex-leases)</t>
  </si>
  <si>
    <t>Add: cash &amp; short-term investments</t>
  </si>
  <si>
    <t>Less: preferred stock</t>
  </si>
  <si>
    <t>Equity value</t>
  </si>
  <si>
    <t>Current share price (Jul 24, 2026 close)</t>
  </si>
  <si>
    <t>Memo — implied value at 21% cash tax (original DCF assumption)</t>
  </si>
  <si>
    <t>Sensitivity — Implied Value per Share (WACC × terminal growth)</t>
  </si>
  <si>
    <t>WACC \ terminal g</t>
  </si>
  <si>
    <t>Oracle — Scenario DCF (Bear / Base / Bull), computed live from the driver blocks</t>
  </si>
  <si>
    <t>BEAR — Unlevered FCF ($mm)</t>
  </si>
  <si>
    <t>Revenue</t>
  </si>
  <si>
    <t>Operating income</t>
  </si>
  <si>
    <t>Accounts receivable</t>
  </si>
  <si>
    <t>Other current assets</t>
  </si>
  <si>
    <t>Accounts payable</t>
  </si>
  <si>
    <t>Accrued+deferred+other CL</t>
  </si>
  <si>
    <t>Unlevered FCF</t>
  </si>
  <si>
    <t>BASE — Unlevered FCF ($mm)</t>
  </si>
  <si>
    <t>BULL — Unlevered FCF ($mm)</t>
  </si>
  <si>
    <t>Scenario Summary</t>
  </si>
  <si>
    <t>PV of explicit FCF</t>
  </si>
  <si>
    <t>Oracle Corporation - Consolidated Statements of Operations</t>
  </si>
  <si>
    <t>$ in millions, except per-share data. Fiscal year ends May 31.</t>
  </si>
  <si>
    <t>Total revenues</t>
  </si>
  <si>
    <t>Cost of revenues</t>
  </si>
  <si>
    <t>Gross profit</t>
  </si>
  <si>
    <t>Selling, general &amp; administrative</t>
  </si>
  <si>
    <t>Research &amp; development</t>
  </si>
  <si>
    <t>Amortization of intangibles &amp; other operating</t>
  </si>
  <si>
    <t>Total operating expenses</t>
  </si>
  <si>
    <t>Interest expense</t>
  </si>
  <si>
    <t>Other income (expense), net</t>
  </si>
  <si>
    <t>Income before income taxes</t>
  </si>
  <si>
    <t>Provision for income taxes</t>
  </si>
  <si>
    <t>Net income</t>
  </si>
  <si>
    <t>Preferred stock dividends</t>
  </si>
  <si>
    <t>Net income attributable to common</t>
  </si>
  <si>
    <t>Weighted avg shares - basic (mm)</t>
  </si>
  <si>
    <t>Weighted avg shares - diluted (mm)</t>
  </si>
  <si>
    <t>EPS - basic ($)</t>
  </si>
  <si>
    <t>EPS - diluted ($)</t>
  </si>
  <si>
    <t>Operating margin %</t>
  </si>
  <si>
    <t>Net margin %</t>
  </si>
  <si>
    <t>Oracle Corporation - Consolidated Balance Sheets</t>
  </si>
  <si>
    <t>$ in millions. As of May 31.</t>
  </si>
  <si>
    <t>ASSETS</t>
  </si>
  <si>
    <t>Cash &amp; cash equivalents</t>
  </si>
  <si>
    <t>Short-term investments</t>
  </si>
  <si>
    <t>Accounts receivable, net</t>
  </si>
  <si>
    <t>Prepaid &amp; other current assets</t>
  </si>
  <si>
    <t>Total current assets</t>
  </si>
  <si>
    <t>Property, plant &amp; equipment, net (incl. ROU assets)</t>
  </si>
  <si>
    <t>Goodwill</t>
  </si>
  <si>
    <t>Intangibles &amp; other non-current assets</t>
  </si>
  <si>
    <t>Total assets</t>
  </si>
  <si>
    <t>LIABILITIES</t>
  </si>
  <si>
    <t>Accrued compensation</t>
  </si>
  <si>
    <t>Short-term borrowings &amp; current debt</t>
  </si>
  <si>
    <t>Deferred revenues</t>
  </si>
  <si>
    <t>Other current liabilities</t>
  </si>
  <si>
    <t>Total current liabilities</t>
  </si>
  <si>
    <t>Long-term debt</t>
  </si>
  <si>
    <t>Long-term operating lease liabilities</t>
  </si>
  <si>
    <t>Other non-current liabilities</t>
  </si>
  <si>
    <t>Total liabilities</t>
  </si>
  <si>
    <t>STOCKHOLDERS EQUITY</t>
  </si>
  <si>
    <t>Preferred stock</t>
  </si>
  <si>
    <t>Common stock &amp; paid-in capital</t>
  </si>
  <si>
    <t>Retained earnings (accumulated deficit)</t>
  </si>
  <si>
    <t>Accumulated other comprehensive loss</t>
  </si>
  <si>
    <t>Total Oracle stockholders equity</t>
  </si>
  <si>
    <t>Noncontrolling interests</t>
  </si>
  <si>
    <t>Total equity</t>
  </si>
  <si>
    <t>Total liabilities &amp; equity</t>
  </si>
  <si>
    <t>Balance check (must be 0)</t>
  </si>
  <si>
    <t>Memo: total debt (incl. leases)</t>
  </si>
  <si>
    <t>Oracle Corporation - Consolidated Statements of Cash Flows</t>
  </si>
  <si>
    <t>$ in millions. Fiscal year ends May 31.</t>
  </si>
  <si>
    <t>OPERATING ACTIVITIES</t>
  </si>
  <si>
    <t>Depreciation &amp; amortization</t>
  </si>
  <si>
    <t>Stock-based compensation</t>
  </si>
  <si>
    <t>(Increase) in accounts receivable</t>
  </si>
  <si>
    <t>(Increase) decrease in other current assets</t>
  </si>
  <si>
    <t>Increase (decrease) in accounts payable</t>
  </si>
  <si>
    <t>Incr. (decr.) in accrued, deferred rev. &amp; other liabs</t>
  </si>
  <si>
    <t>Other operating adjustments, net</t>
  </si>
  <si>
    <t>Net cash provided by operating activities</t>
  </si>
  <si>
    <t>INVESTING ACTIVITIES</t>
  </si>
  <si>
    <t>Investments &amp; other, net</t>
  </si>
  <si>
    <t>Net cash used for investing activities</t>
  </si>
  <si>
    <t>FINANCING ACTIVITIES</t>
  </si>
  <si>
    <t>Net short-term borrowings</t>
  </si>
  <si>
    <t>Long-term debt issued</t>
  </si>
  <si>
    <t>Long-term debt repaid</t>
  </si>
  <si>
    <t>Common stock issued</t>
  </si>
  <si>
    <t>Preferred stock issued</t>
  </si>
  <si>
    <t>Repurchases of common stock</t>
  </si>
  <si>
    <t>Dividends paid to common stockholders</t>
  </si>
  <si>
    <t>Cash sweep — debt paydown (excess over target)</t>
  </si>
  <si>
    <t>Other financing activities (incl. preferred dividends)</t>
  </si>
  <si>
    <t>Net cash from financing activities</t>
  </si>
  <si>
    <t>Effect of exchange rates on cash</t>
  </si>
  <si>
    <t>Net change in cash</t>
  </si>
  <si>
    <t>Cash - beginning of year</t>
  </si>
  <si>
    <t>Cash - end of year</t>
  </si>
  <si>
    <t>Oracle Corporation - Consolidated Statements of Stockholders Equity</t>
  </si>
  <si>
    <t>$ in millions. Roll-forward by component; fiscal year ends May 31.</t>
  </si>
  <si>
    <t>PREFERRED STOCK</t>
  </si>
  <si>
    <t>Beginning balance</t>
  </si>
  <si>
    <t>Issuance of preferred stock</t>
  </si>
  <si>
    <t>Ending balance</t>
  </si>
  <si>
    <t>COMMON STOCK &amp; PAID-IN CAPITAL</t>
  </si>
  <si>
    <t>Common stock issued (ESPP / options)</t>
  </si>
  <si>
    <t>Repurchase allocation &amp; other</t>
  </si>
  <si>
    <t>RETAINED EARNINGS (ACCUMULATED DEFICIT)</t>
  </si>
  <si>
    <t>Common stock dividends</t>
  </si>
  <si>
    <t>Repurchases in excess of par &amp; other</t>
  </si>
  <si>
    <t>ACCUM. OTHER COMPREHENSIVE LOSS</t>
  </si>
  <si>
    <t>Other comprehensive income (loss)</t>
  </si>
  <si>
    <t>NONCONTROLLING INTERESTS</t>
  </si>
  <si>
    <t>Net change</t>
  </si>
  <si>
    <t>TOTAL STOCKHOLDERS EQUITY (ending)</t>
  </si>
  <si>
    <t>Check vs. balance sheet (must be 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</si>
</sst>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\$0.00;[Red]&quot;($&quot;0.00\);\-"/>
    <numFmt numFmtId="165" formatCode="0.0%;[Red]\(0.0%\);\-"/>
    <numFmt numFmtId="166" formatCode="#,##0;[Red]\(#,##0\);\-"/>
    <numFmt numFmtId="167" formatCode="#,##0.0"/>
    <numFmt numFmtId="168" formatCode="0.0%"/>
    <numFmt numFmtId="169" formatCode="#,##0;\(#,##0\);\-"/>
    <numFmt numFmtId="170" formatCode="0.000"/>
  </numFmts>
  <fonts count="16" x14ac:knownFonts="1">
    <font>
      <sz val="11"/>
      <color theme="1"/>
      <name val="Calibri"/>
      <family val="2"/>
      <charset val="1"/>
    </font>
    <font>
      <b/>
      <sz val="14"/>
      <color rgb="FFFFFFFF"/>
      <name val="Cambria"/>
      <family val="1"/>
    </font>
    <font>
      <i/>
      <sz val="11"/>
      <name val="Cambria"/>
      <family val="1"/>
    </font>
    <font>
      <b/>
      <sz val="11"/>
      <name val="Cambria"/>
      <family val="1"/>
    </font>
    <font>
      <b/>
      <sz val="12"/>
      <name val="Arial"/>
      <family val="2"/>
    </font>
    <font>
      <i/>
      <sz val="9"/>
      <color rgb="FF808080"/>
      <name val="Arial"/>
      <family val="2"/>
    </font>
    <font>
      <b/>
      <sz val="10"/>
      <color rgb="FFFFFFFF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FF"/>
      <name val="Arial"/>
      <family val="2"/>
    </font>
    <font>
      <i/>
      <sz val="8"/>
      <name val="Arial"/>
      <family val="2"/>
    </font>
    <font>
      <b/>
      <sz val="14"/>
      <name val="Cambria"/>
      <family val="1"/>
    </font>
    <font>
      <b/>
      <sz val="13"/>
      <name val="Cambria"/>
      <family val="1"/>
    </font>
    <font>
      <sz val="10"/>
      <color rgb="FF008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D9EAF7"/>
        <bgColor rgb="FFD9E2F3"/>
      </patternFill>
    </fill>
    <fill>
      <patternFill patternType="solid">
        <fgColor rgb="FFD9E2F3"/>
        <bgColor rgb="FFD9EAF7"/>
      </patternFill>
    </fill>
    <fill>
      <patternFill patternType="solid">
        <fgColor rgb="FFFFFF00"/>
        <bgColor rgb="FFFFFF00"/>
      </patternFill>
    </fill>
    <fill>
      <patternFill patternType="solid">
        <fgColor rgb="FFFFF2CC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2" fillId="0" borderId="0" xfId="0" applyFont="1"/>
    <xf numFmtId="0" fontId="11" fillId="0" borderId="0" xfId="0" applyFont="1"/>
    <xf numFmtId="0" fontId="3" fillId="3" borderId="0" xfId="0" applyFont="1" applyFill="1"/>
    <xf numFmtId="0" fontId="1" fillId="2" borderId="0" xfId="0" applyFont="1" applyFill="1"/>
    <xf numFmtId="0" fontId="2" fillId="0" borderId="0" xfId="0" applyFont="1"/>
    <xf numFmtId="0" fontId="3" fillId="3" borderId="0" xfId="0" applyFont="1" applyFill="1"/>
    <xf numFmtId="0" fontId="3" fillId="0" borderId="0" xfId="0" applyFont="1"/>
    <xf numFmtId="164" fontId="3" fillId="0" borderId="0" xfId="0" applyNumberFormat="1" applyFont="1"/>
    <xf numFmtId="164" fontId="0" fillId="0" borderId="0" xfId="0" applyNumberFormat="1"/>
    <xf numFmtId="165" fontId="3" fillId="0" borderId="0" xfId="0" applyNumberFormat="1" applyFon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4" fillId="0" borderId="0" xfId="0" applyFont="1"/>
    <xf numFmtId="0" fontId="5" fillId="0" borderId="0" xfId="0" applyFont="1"/>
    <xf numFmtId="0" fontId="6" fillId="2" borderId="0" xfId="0" applyFont="1" applyFill="1" applyAlignment="1">
      <alignment horizontal="center"/>
    </xf>
    <xf numFmtId="0" fontId="6" fillId="0" borderId="0" xfId="0" applyFont="1"/>
    <xf numFmtId="0" fontId="7" fillId="4" borderId="0" xfId="0" applyFont="1" applyFill="1"/>
    <xf numFmtId="0" fontId="8" fillId="0" borderId="0" xfId="0" applyFont="1"/>
    <xf numFmtId="168" fontId="9" fillId="5" borderId="0" xfId="0" applyNumberFormat="1" applyFont="1" applyFill="1"/>
    <xf numFmtId="168" fontId="9" fillId="0" borderId="0" xfId="0" applyNumberFormat="1" applyFont="1"/>
    <xf numFmtId="169" fontId="9" fillId="5" borderId="0" xfId="0" applyNumberFormat="1" applyFont="1" applyFill="1"/>
    <xf numFmtId="169" fontId="9" fillId="0" borderId="0" xfId="0" applyNumberFormat="1" applyFont="1"/>
    <xf numFmtId="1" fontId="9" fillId="5" borderId="0" xfId="0" applyNumberFormat="1" applyFont="1" applyFill="1"/>
    <xf numFmtId="1" fontId="9" fillId="0" borderId="0" xfId="0" applyNumberFormat="1" applyFont="1"/>
    <xf numFmtId="166" fontId="3" fillId="6" borderId="0" xfId="0" applyNumberFormat="1" applyFont="1" applyFill="1"/>
    <xf numFmtId="2" fontId="9" fillId="5" borderId="0" xfId="0" applyNumberFormat="1" applyFont="1" applyFill="1"/>
    <xf numFmtId="2" fontId="9" fillId="0" borderId="0" xfId="0" applyNumberFormat="1" applyFont="1"/>
    <xf numFmtId="0" fontId="10" fillId="0" borderId="0" xfId="0" applyFont="1"/>
    <xf numFmtId="0" fontId="3" fillId="6" borderId="0" xfId="0" applyFont="1" applyFill="1"/>
    <xf numFmtId="165" fontId="0" fillId="6" borderId="0" xfId="0" applyNumberFormat="1" applyFill="1"/>
    <xf numFmtId="166" fontId="0" fillId="6" borderId="0" xfId="0" applyNumberFormat="1" applyFill="1"/>
    <xf numFmtId="0" fontId="3" fillId="0" borderId="0" xfId="0" applyFont="1" applyAlignment="1">
      <alignment horizontal="right"/>
    </xf>
    <xf numFmtId="166" fontId="3" fillId="0" borderId="0" xfId="0" applyNumberFormat="1" applyFont="1"/>
    <xf numFmtId="1" fontId="0" fillId="0" borderId="0" xfId="0" applyNumberFormat="1"/>
    <xf numFmtId="170" fontId="0" fillId="0" borderId="0" xfId="0" applyNumberFormat="1"/>
    <xf numFmtId="165" fontId="3" fillId="6" borderId="0" xfId="0" applyNumberFormat="1" applyFont="1" applyFill="1"/>
    <xf numFmtId="164" fontId="2" fillId="0" borderId="0" xfId="0" applyNumberFormat="1" applyFont="1"/>
    <xf numFmtId="0" fontId="7" fillId="0" borderId="0" xfId="0" applyFont="1"/>
    <xf numFmtId="169" fontId="13" fillId="0" borderId="0" xfId="0" applyNumberFormat="1" applyFont="1"/>
    <xf numFmtId="169" fontId="14" fillId="0" borderId="1" xfId="0" applyNumberFormat="1" applyFont="1" applyBorder="1"/>
    <xf numFmtId="169" fontId="14" fillId="0" borderId="0" xfId="0" applyNumberFormat="1" applyFont="1"/>
    <xf numFmtId="169" fontId="15" fillId="0" borderId="1" xfId="0" applyNumberFormat="1" applyFont="1" applyBorder="1"/>
    <xf numFmtId="169" fontId="15" fillId="0" borderId="0" xfId="0" applyNumberFormat="1" applyFont="1"/>
    <xf numFmtId="2" fontId="15" fillId="0" borderId="0" xfId="0" applyNumberFormat="1" applyFont="1"/>
    <xf numFmtId="168" fontId="1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9EAF7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zoomScaleNormal="100" workbookViewId="0">
      <selection sqref="A1:D1"/>
    </sheetView>
  </sheetViews>
  <sheetFormatPr baseColWidth="10" defaultColWidth="8.6640625" defaultRowHeight="15" x14ac:dyDescent="0.2"/>
  <cols>
    <col min="1" max="1" width="34" customWidth="1"/>
    <col min="2" max="4" width="14" customWidth="1"/>
  </cols>
  <sheetData>
    <row r="1" spans="1:4" ht="18" x14ac:dyDescent="0.2">
      <c r="A1" s="4" t="s">
        <v>0</v>
      </c>
      <c r="B1" s="4"/>
      <c r="C1" s="4"/>
      <c r="D1" s="4"/>
    </row>
    <row r="2" spans="1:4" x14ac:dyDescent="0.2">
      <c r="A2" s="5" t="s">
        <v>1</v>
      </c>
    </row>
    <row r="4" spans="1:4" x14ac:dyDescent="0.2">
      <c r="A4" s="3" t="s">
        <v>2</v>
      </c>
      <c r="B4" s="3"/>
      <c r="C4" s="3"/>
      <c r="D4" s="3"/>
    </row>
    <row r="5" spans="1:4" x14ac:dyDescent="0.2">
      <c r="A5" s="7" t="s">
        <v>3</v>
      </c>
      <c r="B5" s="7" t="str">
        <f>Assumptions!C37</f>
        <v>Base</v>
      </c>
    </row>
    <row r="6" spans="1:4" x14ac:dyDescent="0.2">
      <c r="A6" s="7" t="s">
        <v>4</v>
      </c>
      <c r="B6" s="8">
        <f>DCF!B29</f>
        <v>153.09503832409217</v>
      </c>
    </row>
    <row r="7" spans="1:4" x14ac:dyDescent="0.2">
      <c r="A7" t="s">
        <v>5</v>
      </c>
      <c r="B7" s="9">
        <f>DCF!B30</f>
        <v>114.99</v>
      </c>
    </row>
    <row r="8" spans="1:4" x14ac:dyDescent="0.2">
      <c r="A8" s="7" t="s">
        <v>6</v>
      </c>
      <c r="B8" s="10">
        <f>DCF!B31</f>
        <v>0.33137697472903893</v>
      </c>
    </row>
    <row r="10" spans="1:4" x14ac:dyDescent="0.2">
      <c r="A10" s="3" t="s">
        <v>7</v>
      </c>
      <c r="B10" s="3"/>
      <c r="C10" s="3"/>
      <c r="D10" s="3"/>
    </row>
    <row r="11" spans="1:4" x14ac:dyDescent="0.2">
      <c r="A11" s="7" t="s">
        <v>8</v>
      </c>
      <c r="B11" s="7" t="s">
        <v>9</v>
      </c>
      <c r="C11" s="7" t="s">
        <v>10</v>
      </c>
      <c r="D11" s="7" t="s">
        <v>11</v>
      </c>
    </row>
    <row r="12" spans="1:4" x14ac:dyDescent="0.2">
      <c r="A12" s="7" t="s">
        <v>12</v>
      </c>
      <c r="B12" s="8">
        <f>Scenarios!B52</f>
        <v>105.5761780631901</v>
      </c>
      <c r="C12" s="8">
        <f>Scenarios!C52</f>
        <v>153.09503832409209</v>
      </c>
      <c r="D12" s="8">
        <f>Scenarios!D52</f>
        <v>198.01931371745422</v>
      </c>
    </row>
    <row r="13" spans="1:4" x14ac:dyDescent="0.2">
      <c r="A13" t="s">
        <v>6</v>
      </c>
      <c r="B13" s="11">
        <f>Scenarios!B53</f>
        <v>-8.186644001052179E-2</v>
      </c>
      <c r="C13" s="11">
        <f>Scenarios!C53</f>
        <v>0.33137697472903804</v>
      </c>
      <c r="D13" s="11">
        <f>Scenarios!D53</f>
        <v>0.72205681987524328</v>
      </c>
    </row>
    <row r="14" spans="1:4" x14ac:dyDescent="0.2">
      <c r="A14" t="s">
        <v>13</v>
      </c>
      <c r="B14" s="12">
        <f>Scenarios!K4</f>
        <v>181061.67877562635</v>
      </c>
      <c r="C14" s="12">
        <f>Scenarios!K18</f>
        <v>208702.89560633962</v>
      </c>
      <c r="D14" s="12">
        <f>Scenarios!K32</f>
        <v>237059.55761802776</v>
      </c>
    </row>
    <row r="15" spans="1:4" x14ac:dyDescent="0.2">
      <c r="A15" t="s">
        <v>14</v>
      </c>
      <c r="B15" s="12">
        <f>Scenarios!B7</f>
        <v>62000</v>
      </c>
      <c r="C15" s="12">
        <f>Scenarios!B21</f>
        <v>78500</v>
      </c>
      <c r="D15" s="12">
        <f>Scenarios!B35</f>
        <v>95000</v>
      </c>
    </row>
    <row r="16" spans="1:4" x14ac:dyDescent="0.2">
      <c r="A16" t="s">
        <v>15</v>
      </c>
      <c r="B16" s="11">
        <f>Scenarios!B54</f>
        <v>0.8463951275706173</v>
      </c>
      <c r="C16" s="11">
        <f>Scenarios!C54</f>
        <v>0.83339747749818505</v>
      </c>
      <c r="D16" s="11">
        <f>Scenarios!D54</f>
        <v>0.82336259029772918</v>
      </c>
    </row>
    <row r="18" spans="1:4" x14ac:dyDescent="0.2">
      <c r="A18" s="3" t="s">
        <v>16</v>
      </c>
      <c r="B18" s="3"/>
      <c r="C18" s="3"/>
      <c r="D18" s="3"/>
    </row>
    <row r="19" spans="1:4" x14ac:dyDescent="0.2">
      <c r="A19" t="s">
        <v>17</v>
      </c>
      <c r="B19" s="11">
        <f>DCF!B17</f>
        <v>8.5000000000000006E-2</v>
      </c>
    </row>
    <row r="20" spans="1:4" x14ac:dyDescent="0.2">
      <c r="A20" t="s">
        <v>18</v>
      </c>
      <c r="B20" s="11">
        <f>DCF!B18</f>
        <v>0.03</v>
      </c>
    </row>
    <row r="21" spans="1:4" x14ac:dyDescent="0.2">
      <c r="A21" t="s">
        <v>19</v>
      </c>
      <c r="B21" s="11">
        <f>Assumptions!E14</f>
        <v>0.17</v>
      </c>
    </row>
    <row r="22" spans="1:4" x14ac:dyDescent="0.2">
      <c r="A22" t="s">
        <v>20</v>
      </c>
      <c r="B22" s="13">
        <f>'Income Statement'!D24</f>
        <v>2914</v>
      </c>
    </row>
    <row r="24" spans="1:4" x14ac:dyDescent="0.2">
      <c r="A24" s="3" t="s">
        <v>21</v>
      </c>
      <c r="B24" s="3"/>
      <c r="C24" s="3"/>
      <c r="D24" s="3"/>
    </row>
    <row r="25" spans="1:4" x14ac:dyDescent="0.2">
      <c r="A25" s="5" t="s">
        <v>22</v>
      </c>
    </row>
    <row r="26" spans="1:4" x14ac:dyDescent="0.2">
      <c r="A26" s="5" t="s">
        <v>23</v>
      </c>
    </row>
    <row r="28" spans="1:4" x14ac:dyDescent="0.2">
      <c r="A28" s="3" t="s">
        <v>24</v>
      </c>
      <c r="B28" s="3"/>
      <c r="C28" s="3"/>
      <c r="D28" s="3"/>
    </row>
    <row r="29" spans="1:4" x14ac:dyDescent="0.2">
      <c r="A29" s="5" t="s">
        <v>25</v>
      </c>
    </row>
    <row r="30" spans="1:4" x14ac:dyDescent="0.2">
      <c r="A30" s="5" t="s">
        <v>26</v>
      </c>
    </row>
    <row r="32" spans="1:4" x14ac:dyDescent="0.2">
      <c r="A32" s="3" t="s">
        <v>27</v>
      </c>
      <c r="B32" s="3"/>
      <c r="C32" s="3"/>
      <c r="D32" s="3"/>
    </row>
    <row r="33" spans="1:1" x14ac:dyDescent="0.2">
      <c r="A33" s="5" t="s">
        <v>28</v>
      </c>
    </row>
  </sheetData>
  <mergeCells count="7">
    <mergeCell ref="A28:D28"/>
    <mergeCell ref="A32:D32"/>
    <mergeCell ref="A1:D1"/>
    <mergeCell ref="A4:D4"/>
    <mergeCell ref="A10:D10"/>
    <mergeCell ref="A18:D18"/>
    <mergeCell ref="A24:D24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3"/>
  <sheetViews>
    <sheetView showGridLines="0" tabSelected="1" zoomScaleNormal="100" workbookViewId="0">
      <pane xSplit="1" ySplit="3" topLeftCell="B4" activePane="bottomRight" state="frozen"/>
      <selection sqref="A1:D1"/>
      <selection pane="topRight" sqref="A1:D1"/>
      <selection pane="bottomLeft" sqref="A1:D1"/>
      <selection pane="bottomRight" sqref="A1:D1"/>
    </sheetView>
  </sheetViews>
  <sheetFormatPr baseColWidth="10" defaultColWidth="8.6640625" defaultRowHeight="15" x14ac:dyDescent="0.2"/>
  <cols>
    <col min="1" max="1" width="42" customWidth="1"/>
    <col min="2" max="7" width="12" customWidth="1"/>
  </cols>
  <sheetData>
    <row r="1" spans="1:14" ht="15" customHeight="1" x14ac:dyDescent="0.2">
      <c r="A1" s="14" t="s">
        <v>29</v>
      </c>
    </row>
    <row r="2" spans="1:14" ht="15" customHeight="1" x14ac:dyDescent="0.2">
      <c r="A2" s="15" t="s">
        <v>30</v>
      </c>
    </row>
    <row r="3" spans="1:14" ht="15" customHeight="1" x14ac:dyDescent="0.2">
      <c r="B3" s="16" t="s">
        <v>31</v>
      </c>
      <c r="C3" s="16" t="s">
        <v>32</v>
      </c>
      <c r="D3" s="16" t="s">
        <v>33</v>
      </c>
      <c r="E3" s="16" t="s">
        <v>34</v>
      </c>
      <c r="F3" s="16" t="s">
        <v>35</v>
      </c>
      <c r="G3" s="16" t="s">
        <v>36</v>
      </c>
      <c r="H3" s="17" t="s">
        <v>37</v>
      </c>
      <c r="I3" s="17" t="s">
        <v>38</v>
      </c>
      <c r="J3" s="17" t="s">
        <v>39</v>
      </c>
      <c r="K3" s="17" t="s">
        <v>40</v>
      </c>
      <c r="L3" s="17" t="s">
        <v>41</v>
      </c>
      <c r="M3" s="17" t="s">
        <v>42</v>
      </c>
      <c r="N3" s="17" t="s">
        <v>43</v>
      </c>
    </row>
    <row r="4" spans="1:14" ht="15" customHeight="1" x14ac:dyDescent="0.2">
      <c r="A4" s="18" t="s">
        <v>44</v>
      </c>
    </row>
    <row r="5" spans="1:14" ht="15" customHeight="1" x14ac:dyDescent="0.2">
      <c r="A5" s="19" t="s">
        <v>45</v>
      </c>
      <c r="E5" s="20">
        <f t="shared" ref="E5:N5" si="0">CHOOSE($B$37,E40,E45,E50)</f>
        <v>0.27</v>
      </c>
      <c r="F5" s="20">
        <f t="shared" si="0"/>
        <v>0.23</v>
      </c>
      <c r="G5" s="20">
        <f t="shared" si="0"/>
        <v>0.17399999999999999</v>
      </c>
      <c r="H5" s="21">
        <f t="shared" si="0"/>
        <v>0.13200000000000001</v>
      </c>
      <c r="I5" s="21">
        <f t="shared" si="0"/>
        <v>0.1</v>
      </c>
      <c r="J5" s="21">
        <f t="shared" si="0"/>
        <v>8.3000000000000004E-2</v>
      </c>
      <c r="K5" s="21">
        <f t="shared" si="0"/>
        <v>6.9000000000000006E-2</v>
      </c>
      <c r="L5" s="21">
        <f t="shared" si="0"/>
        <v>0.06</v>
      </c>
      <c r="M5" s="21">
        <f t="shared" si="0"/>
        <v>5.2999999999999999E-2</v>
      </c>
      <c r="N5" s="21">
        <f t="shared" si="0"/>
        <v>0.05</v>
      </c>
    </row>
    <row r="6" spans="1:14" ht="15" customHeight="1" x14ac:dyDescent="0.2">
      <c r="A6" s="19" t="s">
        <v>46</v>
      </c>
      <c r="E6" s="20">
        <f t="shared" ref="E6:N6" si="1">CHOOSE($B$37,E41,E46,E51)</f>
        <v>0.64500000000000002</v>
      </c>
      <c r="F6" s="20">
        <f t="shared" si="1"/>
        <v>0.64200000000000002</v>
      </c>
      <c r="G6" s="20">
        <f t="shared" si="1"/>
        <v>0.64</v>
      </c>
      <c r="H6" s="21">
        <f t="shared" si="1"/>
        <v>0.64</v>
      </c>
      <c r="I6" s="21">
        <f t="shared" si="1"/>
        <v>0.64</v>
      </c>
      <c r="J6" s="21">
        <f t="shared" si="1"/>
        <v>0.64200000000000002</v>
      </c>
      <c r="K6" s="21">
        <f t="shared" si="1"/>
        <v>0.64500000000000002</v>
      </c>
      <c r="L6" s="21">
        <f t="shared" si="1"/>
        <v>0.64700000000000002</v>
      </c>
      <c r="M6" s="21">
        <f t="shared" si="1"/>
        <v>0.65</v>
      </c>
      <c r="N6" s="21">
        <f t="shared" si="1"/>
        <v>0.65200000000000002</v>
      </c>
    </row>
    <row r="7" spans="1:14" ht="15" customHeight="1" x14ac:dyDescent="0.2">
      <c r="A7" s="19" t="s">
        <v>47</v>
      </c>
      <c r="E7" s="20">
        <v>0.14799999999999999</v>
      </c>
      <c r="F7" s="20">
        <v>0.14599999999999999</v>
      </c>
      <c r="G7" s="20">
        <v>0.14399999999999999</v>
      </c>
      <c r="H7" s="21">
        <v>0.14199999999999999</v>
      </c>
      <c r="I7" s="21">
        <v>0.14000000000000001</v>
      </c>
      <c r="J7" s="21">
        <v>0.14000000000000001</v>
      </c>
      <c r="K7" s="21">
        <v>0.14000000000000001</v>
      </c>
      <c r="L7" s="21">
        <v>0.14000000000000001</v>
      </c>
      <c r="M7" s="21">
        <v>0.14000000000000001</v>
      </c>
      <c r="N7" s="21">
        <v>0.14000000000000001</v>
      </c>
    </row>
    <row r="8" spans="1:14" ht="15" customHeight="1" x14ac:dyDescent="0.2">
      <c r="A8" s="19" t="s">
        <v>48</v>
      </c>
      <c r="E8" s="20">
        <v>0.152</v>
      </c>
      <c r="F8" s="20">
        <v>0.152</v>
      </c>
      <c r="G8" s="20">
        <v>0.152</v>
      </c>
      <c r="H8" s="21">
        <v>0.152</v>
      </c>
      <c r="I8" s="21">
        <v>0.152</v>
      </c>
      <c r="J8" s="21">
        <v>0.152</v>
      </c>
      <c r="K8" s="21">
        <v>0.152</v>
      </c>
      <c r="L8" s="21">
        <v>0.152</v>
      </c>
      <c r="M8" s="21">
        <v>0.152</v>
      </c>
      <c r="N8" s="21">
        <v>0.152</v>
      </c>
    </row>
    <row r="9" spans="1:14" ht="15" customHeight="1" x14ac:dyDescent="0.2">
      <c r="A9" s="19" t="s">
        <v>49</v>
      </c>
      <c r="E9" s="20">
        <v>4.4999999999999998E-2</v>
      </c>
      <c r="F9" s="20">
        <v>4.2000000000000003E-2</v>
      </c>
      <c r="G9" s="20">
        <v>0.04</v>
      </c>
      <c r="H9" s="21">
        <v>3.7999999999999999E-2</v>
      </c>
      <c r="I9" s="21">
        <v>3.5999999999999997E-2</v>
      </c>
      <c r="J9" s="21">
        <v>3.5000000000000003E-2</v>
      </c>
      <c r="K9" s="21">
        <v>3.5000000000000003E-2</v>
      </c>
      <c r="L9" s="21">
        <v>3.5000000000000003E-2</v>
      </c>
      <c r="M9" s="21">
        <v>3.5000000000000003E-2</v>
      </c>
      <c r="N9" s="21">
        <v>3.5000000000000003E-2</v>
      </c>
    </row>
    <row r="10" spans="1:14" ht="15" customHeight="1" x14ac:dyDescent="0.2">
      <c r="A10" s="19" t="s">
        <v>50</v>
      </c>
      <c r="E10" s="20">
        <f t="shared" ref="E10:N10" si="2">CHOOSE($B$37,E42,E47,E52)</f>
        <v>0.13500000000000001</v>
      </c>
      <c r="F10" s="20">
        <f t="shared" si="2"/>
        <v>0.155</v>
      </c>
      <c r="G10" s="20">
        <f t="shared" si="2"/>
        <v>0.17</v>
      </c>
      <c r="H10" s="21">
        <f t="shared" si="2"/>
        <v>0.16500000000000001</v>
      </c>
      <c r="I10" s="21">
        <f t="shared" si="2"/>
        <v>0.15</v>
      </c>
      <c r="J10" s="21">
        <f t="shared" si="2"/>
        <v>0.13500000000000001</v>
      </c>
      <c r="K10" s="21">
        <f t="shared" si="2"/>
        <v>0.12</v>
      </c>
      <c r="L10" s="21">
        <f t="shared" si="2"/>
        <v>0.11</v>
      </c>
      <c r="M10" s="21">
        <f t="shared" si="2"/>
        <v>0.1</v>
      </c>
      <c r="N10" s="21">
        <f t="shared" si="2"/>
        <v>9.7500000000000003E-2</v>
      </c>
    </row>
    <row r="11" spans="1:14" ht="15" customHeight="1" x14ac:dyDescent="0.2">
      <c r="A11" s="19" t="s">
        <v>51</v>
      </c>
      <c r="E11" s="20">
        <v>7.0000000000000007E-2</v>
      </c>
      <c r="F11" s="20">
        <v>6.9000000000000006E-2</v>
      </c>
      <c r="G11" s="20">
        <v>6.8000000000000005E-2</v>
      </c>
      <c r="H11" s="21">
        <v>6.5000000000000002E-2</v>
      </c>
      <c r="I11" s="21">
        <v>6.2E-2</v>
      </c>
      <c r="J11" s="21">
        <v>0.06</v>
      </c>
      <c r="K11" s="21">
        <v>5.8000000000000003E-2</v>
      </c>
      <c r="L11" s="21">
        <v>5.5E-2</v>
      </c>
      <c r="M11" s="21">
        <v>5.2999999999999999E-2</v>
      </c>
      <c r="N11" s="21">
        <v>0.05</v>
      </c>
    </row>
    <row r="12" spans="1:14" ht="15" customHeight="1" x14ac:dyDescent="0.2">
      <c r="A12" s="19" t="s">
        <v>52</v>
      </c>
      <c r="E12" s="20">
        <v>4.4999999999999998E-2</v>
      </c>
      <c r="F12" s="20">
        <v>4.4999999999999998E-2</v>
      </c>
      <c r="G12" s="20">
        <v>4.4999999999999998E-2</v>
      </c>
      <c r="H12" s="21">
        <v>4.4999999999999998E-2</v>
      </c>
      <c r="I12" s="21">
        <v>4.4999999999999998E-2</v>
      </c>
      <c r="J12" s="21">
        <v>4.4999999999999998E-2</v>
      </c>
      <c r="K12" s="21">
        <v>4.4999999999999998E-2</v>
      </c>
      <c r="L12" s="21">
        <v>4.4999999999999998E-2</v>
      </c>
      <c r="M12" s="21">
        <v>4.4999999999999998E-2</v>
      </c>
      <c r="N12" s="21">
        <v>4.4999999999999998E-2</v>
      </c>
    </row>
    <row r="13" spans="1:14" ht="15" customHeight="1" x14ac:dyDescent="0.2">
      <c r="A13" s="19" t="s">
        <v>53</v>
      </c>
      <c r="E13" s="20">
        <v>3.5000000000000003E-2</v>
      </c>
      <c r="F13" s="20">
        <v>3.5000000000000003E-2</v>
      </c>
      <c r="G13" s="20">
        <v>3.5000000000000003E-2</v>
      </c>
      <c r="H13" s="21">
        <v>3.5000000000000003E-2</v>
      </c>
      <c r="I13" s="21">
        <v>3.5000000000000003E-2</v>
      </c>
      <c r="J13" s="21">
        <v>3.5000000000000003E-2</v>
      </c>
      <c r="K13" s="21">
        <v>3.5000000000000003E-2</v>
      </c>
      <c r="L13" s="21">
        <v>3.5000000000000003E-2</v>
      </c>
      <c r="M13" s="21">
        <v>3.5000000000000003E-2</v>
      </c>
      <c r="N13" s="21">
        <v>3.5000000000000003E-2</v>
      </c>
    </row>
    <row r="14" spans="1:14" ht="15" customHeight="1" x14ac:dyDescent="0.2">
      <c r="A14" s="19" t="s">
        <v>19</v>
      </c>
      <c r="E14" s="20">
        <v>0.17</v>
      </c>
      <c r="F14" s="20">
        <v>0.17</v>
      </c>
      <c r="G14" s="20">
        <v>0.17</v>
      </c>
      <c r="H14" s="21">
        <v>0.17</v>
      </c>
      <c r="I14" s="21">
        <v>0.17</v>
      </c>
      <c r="J14" s="21">
        <v>0.17</v>
      </c>
      <c r="K14" s="21">
        <v>0.17</v>
      </c>
      <c r="L14" s="21">
        <v>0.17</v>
      </c>
      <c r="M14" s="21">
        <v>0.17</v>
      </c>
      <c r="N14" s="21">
        <v>0.17</v>
      </c>
    </row>
    <row r="15" spans="1:14" ht="15" customHeight="1" x14ac:dyDescent="0.2">
      <c r="A15" s="18" t="s">
        <v>54</v>
      </c>
    </row>
    <row r="16" spans="1:14" ht="15" customHeight="1" x14ac:dyDescent="0.2">
      <c r="A16" s="19" t="s">
        <v>55</v>
      </c>
      <c r="E16" s="22">
        <f t="shared" ref="E16:N16" si="3">CHOOSE($B$37,E43,E48,E53)</f>
        <v>78500</v>
      </c>
      <c r="F16" s="22">
        <f t="shared" si="3"/>
        <v>69000</v>
      </c>
      <c r="G16" s="22">
        <f t="shared" si="3"/>
        <v>55000</v>
      </c>
      <c r="H16" s="23">
        <f t="shared" si="3"/>
        <v>44500</v>
      </c>
      <c r="I16" s="23">
        <f t="shared" si="3"/>
        <v>36500</v>
      </c>
      <c r="J16" s="23">
        <f t="shared" si="3"/>
        <v>30500</v>
      </c>
      <c r="K16" s="23">
        <f t="shared" si="3"/>
        <v>27000</v>
      </c>
      <c r="L16" s="23">
        <f t="shared" si="3"/>
        <v>25000</v>
      </c>
      <c r="M16" s="23">
        <f t="shared" si="3"/>
        <v>24000</v>
      </c>
      <c r="N16" s="23">
        <f t="shared" si="3"/>
        <v>23000</v>
      </c>
    </row>
    <row r="17" spans="1:14" ht="15" customHeight="1" x14ac:dyDescent="0.2">
      <c r="A17" s="19" t="s">
        <v>56</v>
      </c>
      <c r="E17" s="24">
        <v>56</v>
      </c>
      <c r="F17" s="24">
        <v>56</v>
      </c>
      <c r="G17" s="24">
        <v>56</v>
      </c>
      <c r="H17" s="25">
        <v>56</v>
      </c>
      <c r="I17" s="25">
        <v>56</v>
      </c>
      <c r="J17" s="25">
        <v>56</v>
      </c>
      <c r="K17" s="25">
        <v>56</v>
      </c>
      <c r="L17" s="25">
        <v>56</v>
      </c>
      <c r="M17" s="25">
        <v>56</v>
      </c>
      <c r="N17" s="25">
        <v>56</v>
      </c>
    </row>
    <row r="18" spans="1:14" ht="15" customHeight="1" x14ac:dyDescent="0.2">
      <c r="A18" s="19" t="s">
        <v>57</v>
      </c>
      <c r="E18" s="20">
        <v>0.14000000000000001</v>
      </c>
      <c r="F18" s="20">
        <v>0.13</v>
      </c>
      <c r="G18" s="20">
        <v>0.12</v>
      </c>
      <c r="H18" s="21">
        <v>0.12</v>
      </c>
      <c r="I18" s="21">
        <v>0.12</v>
      </c>
      <c r="J18" s="21">
        <v>0.12</v>
      </c>
      <c r="K18" s="21">
        <v>0.12</v>
      </c>
      <c r="L18" s="21">
        <v>0.12</v>
      </c>
      <c r="M18" s="21">
        <v>0.12</v>
      </c>
      <c r="N18" s="21">
        <v>0.12</v>
      </c>
    </row>
    <row r="19" spans="1:14" ht="15" customHeight="1" x14ac:dyDescent="0.2">
      <c r="A19" s="19" t="s">
        <v>58</v>
      </c>
      <c r="E19" s="20">
        <v>6.4000000000000001E-2</v>
      </c>
      <c r="F19" s="20">
        <v>6.4000000000000001E-2</v>
      </c>
      <c r="G19" s="20">
        <v>6.4000000000000001E-2</v>
      </c>
      <c r="H19" s="21">
        <v>6.4000000000000001E-2</v>
      </c>
      <c r="I19" s="21">
        <v>6.4000000000000001E-2</v>
      </c>
      <c r="J19" s="21">
        <v>6.4000000000000001E-2</v>
      </c>
      <c r="K19" s="21">
        <v>6.4000000000000001E-2</v>
      </c>
      <c r="L19" s="21">
        <v>6.4000000000000001E-2</v>
      </c>
      <c r="M19" s="21">
        <v>6.4000000000000001E-2</v>
      </c>
      <c r="N19" s="21">
        <v>6.4000000000000001E-2</v>
      </c>
    </row>
    <row r="20" spans="1:14" ht="15" customHeight="1" x14ac:dyDescent="0.2">
      <c r="A20" s="19" t="s">
        <v>59</v>
      </c>
      <c r="E20" s="20">
        <v>3.3000000000000002E-2</v>
      </c>
      <c r="F20" s="20">
        <v>3.3000000000000002E-2</v>
      </c>
      <c r="G20" s="20">
        <v>3.3000000000000002E-2</v>
      </c>
      <c r="H20" s="21">
        <v>3.3000000000000002E-2</v>
      </c>
      <c r="I20" s="21">
        <v>3.3000000000000002E-2</v>
      </c>
      <c r="J20" s="21">
        <v>3.3000000000000002E-2</v>
      </c>
      <c r="K20" s="21">
        <v>3.3000000000000002E-2</v>
      </c>
      <c r="L20" s="21">
        <v>3.3000000000000002E-2</v>
      </c>
      <c r="M20" s="21">
        <v>3.3000000000000002E-2</v>
      </c>
      <c r="N20" s="21">
        <v>3.3000000000000002E-2</v>
      </c>
    </row>
    <row r="21" spans="1:14" ht="15" customHeight="1" x14ac:dyDescent="0.2">
      <c r="A21" s="19" t="s">
        <v>60</v>
      </c>
      <c r="E21" s="20">
        <v>0.14699999999999999</v>
      </c>
      <c r="F21" s="20">
        <v>0.14699999999999999</v>
      </c>
      <c r="G21" s="20">
        <v>0.14699999999999999</v>
      </c>
      <c r="H21" s="21">
        <v>0.14699999999999999</v>
      </c>
      <c r="I21" s="21">
        <v>0.14699999999999999</v>
      </c>
      <c r="J21" s="21">
        <v>0.14699999999999999</v>
      </c>
      <c r="K21" s="21">
        <v>0.14699999999999999</v>
      </c>
      <c r="L21" s="21">
        <v>0.14699999999999999</v>
      </c>
      <c r="M21" s="21">
        <v>0.14699999999999999</v>
      </c>
      <c r="N21" s="21">
        <v>0.14699999999999999</v>
      </c>
    </row>
    <row r="22" spans="1:14" ht="15" customHeight="1" x14ac:dyDescent="0.2">
      <c r="A22" s="19" t="s">
        <v>61</v>
      </c>
      <c r="E22" s="20">
        <v>0.17</v>
      </c>
      <c r="F22" s="20">
        <v>0.17</v>
      </c>
      <c r="G22" s="20">
        <v>0.17</v>
      </c>
      <c r="H22" s="21">
        <v>0.17</v>
      </c>
      <c r="I22" s="21">
        <v>0.17</v>
      </c>
      <c r="J22" s="21">
        <v>0.17</v>
      </c>
      <c r="K22" s="21">
        <v>0.17</v>
      </c>
      <c r="L22" s="21">
        <v>0.17</v>
      </c>
      <c r="M22" s="21">
        <v>0.17</v>
      </c>
      <c r="N22" s="21">
        <v>0.17</v>
      </c>
    </row>
    <row r="23" spans="1:14" ht="15" customHeight="1" x14ac:dyDescent="0.2">
      <c r="A23" s="19" t="s">
        <v>62</v>
      </c>
      <c r="E23" s="20">
        <v>0.15</v>
      </c>
      <c r="F23" s="20">
        <v>0.1</v>
      </c>
      <c r="G23" s="20">
        <v>0.05</v>
      </c>
      <c r="H23" s="21">
        <v>0.05</v>
      </c>
      <c r="I23" s="21">
        <v>0.04</v>
      </c>
      <c r="J23" s="21">
        <v>0.03</v>
      </c>
      <c r="K23" s="21">
        <v>0.03</v>
      </c>
      <c r="L23" s="21">
        <v>0.03</v>
      </c>
      <c r="M23" s="21">
        <v>0.03</v>
      </c>
      <c r="N23" s="21">
        <v>0.03</v>
      </c>
    </row>
    <row r="24" spans="1:14" ht="15" customHeight="1" x14ac:dyDescent="0.2">
      <c r="A24" s="18" t="s">
        <v>63</v>
      </c>
    </row>
    <row r="25" spans="1:14" ht="15" customHeight="1" x14ac:dyDescent="0.2">
      <c r="A25" s="19" t="s">
        <v>64</v>
      </c>
      <c r="E25" s="22">
        <v>40000</v>
      </c>
      <c r="F25" s="22">
        <v>25000</v>
      </c>
      <c r="G25" s="22">
        <v>15000</v>
      </c>
      <c r="H25" s="23">
        <v>12000</v>
      </c>
      <c r="I25" s="23">
        <v>10000</v>
      </c>
      <c r="J25" s="23">
        <v>8000</v>
      </c>
      <c r="K25" s="23">
        <v>6000</v>
      </c>
      <c r="L25" s="23">
        <v>5000</v>
      </c>
      <c r="M25" s="23">
        <v>4000</v>
      </c>
      <c r="N25" s="23">
        <v>3000</v>
      </c>
    </row>
    <row r="26" spans="1:14" ht="15" customHeight="1" x14ac:dyDescent="0.2">
      <c r="A26" s="19" t="s">
        <v>65</v>
      </c>
      <c r="E26" s="22">
        <v>7000</v>
      </c>
      <c r="F26" s="22">
        <v>8000</v>
      </c>
      <c r="G26" s="22">
        <v>9000</v>
      </c>
      <c r="H26" s="23">
        <v>9000</v>
      </c>
      <c r="I26" s="23">
        <v>9000</v>
      </c>
      <c r="J26" s="23">
        <v>9000</v>
      </c>
      <c r="K26" s="23">
        <v>9000</v>
      </c>
      <c r="L26" s="23">
        <v>9000</v>
      </c>
      <c r="M26" s="23">
        <v>9000</v>
      </c>
      <c r="N26" s="23">
        <v>9000</v>
      </c>
    </row>
    <row r="27" spans="1:14" x14ac:dyDescent="0.2">
      <c r="A27" s="7" t="s">
        <v>66</v>
      </c>
      <c r="B27" s="26">
        <v>15000</v>
      </c>
    </row>
    <row r="28" spans="1:14" ht="15" customHeight="1" x14ac:dyDescent="0.2">
      <c r="A28" s="19" t="s">
        <v>67</v>
      </c>
      <c r="E28" s="27">
        <v>2.2400000000000002</v>
      </c>
      <c r="F28" s="27">
        <v>2.5099999999999998</v>
      </c>
      <c r="G28" s="27">
        <v>2.81</v>
      </c>
      <c r="H28" s="28">
        <v>3.09</v>
      </c>
      <c r="I28" s="28">
        <v>3.37</v>
      </c>
      <c r="J28" s="28">
        <v>3.64</v>
      </c>
      <c r="K28" s="28">
        <v>3.89</v>
      </c>
      <c r="L28" s="28">
        <v>4.13</v>
      </c>
      <c r="M28" s="28">
        <v>4.34</v>
      </c>
      <c r="N28" s="28">
        <v>4.5599999999999996</v>
      </c>
    </row>
    <row r="29" spans="1:14" ht="15" customHeight="1" x14ac:dyDescent="0.2">
      <c r="A29" s="19" t="s">
        <v>68</v>
      </c>
      <c r="E29" s="22">
        <v>300</v>
      </c>
      <c r="F29" s="22">
        <v>300</v>
      </c>
      <c r="G29" s="22">
        <v>300</v>
      </c>
      <c r="H29" s="23">
        <v>300</v>
      </c>
      <c r="I29" s="23">
        <v>300</v>
      </c>
      <c r="J29" s="23">
        <v>300</v>
      </c>
      <c r="K29" s="23">
        <v>300</v>
      </c>
      <c r="L29" s="23">
        <v>300</v>
      </c>
      <c r="M29" s="23">
        <v>300</v>
      </c>
      <c r="N29" s="23">
        <v>300</v>
      </c>
    </row>
    <row r="30" spans="1:14" ht="15" customHeight="1" x14ac:dyDescent="0.2">
      <c r="A30" s="19" t="s">
        <v>69</v>
      </c>
      <c r="E30" s="22">
        <v>1000</v>
      </c>
      <c r="F30" s="22">
        <v>1000</v>
      </c>
      <c r="G30" s="22">
        <v>1000</v>
      </c>
      <c r="H30" s="23">
        <v>1000</v>
      </c>
      <c r="I30" s="23">
        <v>1000</v>
      </c>
      <c r="J30" s="23">
        <v>1000</v>
      </c>
      <c r="K30" s="23">
        <v>1000</v>
      </c>
      <c r="L30" s="23">
        <v>1000</v>
      </c>
      <c r="M30" s="23">
        <v>1000</v>
      </c>
      <c r="N30" s="23">
        <v>1000</v>
      </c>
    </row>
    <row r="31" spans="1:14" ht="15" customHeight="1" x14ac:dyDescent="0.2">
      <c r="A31" s="19" t="s">
        <v>70</v>
      </c>
      <c r="E31" s="22">
        <v>1200</v>
      </c>
      <c r="F31" s="22">
        <v>1200</v>
      </c>
      <c r="G31" s="22">
        <v>1200</v>
      </c>
      <c r="H31" s="23">
        <v>1200</v>
      </c>
      <c r="I31" s="23">
        <v>1200</v>
      </c>
      <c r="J31" s="23">
        <v>1200</v>
      </c>
      <c r="K31" s="23">
        <v>1200</v>
      </c>
      <c r="L31" s="23">
        <v>1200</v>
      </c>
      <c r="M31" s="23">
        <v>1200</v>
      </c>
      <c r="N31" s="23">
        <v>1200</v>
      </c>
    </row>
    <row r="32" spans="1:14" ht="15" customHeight="1" x14ac:dyDescent="0.2">
      <c r="A32" s="19" t="s">
        <v>71</v>
      </c>
      <c r="E32" s="20">
        <v>1.4999999999999999E-2</v>
      </c>
      <c r="F32" s="20">
        <v>1.2E-2</v>
      </c>
      <c r="G32" s="20">
        <v>0.01</v>
      </c>
      <c r="H32" s="21">
        <v>8.0000000000000002E-3</v>
      </c>
      <c r="I32" s="21">
        <v>6.0000000000000001E-3</v>
      </c>
      <c r="J32" s="21">
        <v>5.0000000000000001E-3</v>
      </c>
      <c r="K32" s="21">
        <v>5.0000000000000001E-3</v>
      </c>
      <c r="L32" s="21">
        <v>5.0000000000000001E-3</v>
      </c>
      <c r="M32" s="21">
        <v>5.0000000000000001E-3</v>
      </c>
      <c r="N32" s="21">
        <v>5.0000000000000001E-3</v>
      </c>
    </row>
    <row r="33" spans="1:14" ht="15" customHeight="1" x14ac:dyDescent="0.2">
      <c r="A33" s="19" t="s">
        <v>72</v>
      </c>
      <c r="E33" s="22">
        <v>54</v>
      </c>
      <c r="F33" s="22">
        <v>54</v>
      </c>
      <c r="G33" s="22">
        <v>54</v>
      </c>
      <c r="H33" s="23">
        <v>54</v>
      </c>
      <c r="I33" s="23">
        <v>54</v>
      </c>
      <c r="J33" s="23">
        <v>54</v>
      </c>
      <c r="K33" s="23">
        <v>54</v>
      </c>
      <c r="L33" s="23">
        <v>54</v>
      </c>
      <c r="M33" s="23">
        <v>54</v>
      </c>
      <c r="N33" s="23">
        <v>54</v>
      </c>
    </row>
    <row r="35" spans="1:14" ht="15" customHeight="1" x14ac:dyDescent="0.2">
      <c r="A35" s="29" t="s">
        <v>73</v>
      </c>
    </row>
    <row r="37" spans="1:14" x14ac:dyDescent="0.2">
      <c r="A37" s="7" t="s">
        <v>74</v>
      </c>
      <c r="B37" s="30">
        <v>2</v>
      </c>
      <c r="C37" s="7" t="str">
        <f>CHOOSE(B37,"Bear","Base","Bull")</f>
        <v>Base</v>
      </c>
    </row>
    <row r="38" spans="1:14" x14ac:dyDescent="0.2">
      <c r="A38" s="5" t="s">
        <v>75</v>
      </c>
    </row>
    <row r="39" spans="1:14" x14ac:dyDescent="0.2">
      <c r="A39" s="6" t="s">
        <v>76</v>
      </c>
    </row>
    <row r="40" spans="1:14" x14ac:dyDescent="0.2">
      <c r="A40" t="s">
        <v>45</v>
      </c>
      <c r="E40" s="31">
        <v>0.2</v>
      </c>
      <c r="F40" s="31">
        <v>0.17</v>
      </c>
      <c r="G40" s="31">
        <v>0.14000000000000001</v>
      </c>
      <c r="H40" s="31">
        <v>0.12</v>
      </c>
      <c r="I40" s="31">
        <v>0.1</v>
      </c>
      <c r="J40" s="31">
        <v>8.5000000000000006E-2</v>
      </c>
      <c r="K40" s="31">
        <v>7.0000000000000007E-2</v>
      </c>
      <c r="L40" s="31">
        <v>0.06</v>
      </c>
      <c r="M40" s="31">
        <v>5.5E-2</v>
      </c>
      <c r="N40" s="31">
        <v>0.05</v>
      </c>
    </row>
    <row r="41" spans="1:14" x14ac:dyDescent="0.2">
      <c r="A41" t="s">
        <v>46</v>
      </c>
      <c r="E41" s="31">
        <v>0.64500000000000002</v>
      </c>
      <c r="F41" s="31">
        <v>0.64</v>
      </c>
      <c r="G41" s="31">
        <v>0.63500000000000001</v>
      </c>
      <c r="H41" s="31">
        <v>0.63</v>
      </c>
      <c r="I41" s="31">
        <v>0.625</v>
      </c>
      <c r="J41" s="31">
        <v>0.625</v>
      </c>
      <c r="K41" s="31">
        <v>0.625</v>
      </c>
      <c r="L41" s="31">
        <v>0.625</v>
      </c>
      <c r="M41" s="31">
        <v>0.625</v>
      </c>
      <c r="N41" s="31">
        <v>0.625</v>
      </c>
    </row>
    <row r="42" spans="1:14" x14ac:dyDescent="0.2">
      <c r="A42" t="s">
        <v>77</v>
      </c>
      <c r="E42" s="31">
        <v>0.15</v>
      </c>
      <c r="F42" s="31">
        <v>0.16</v>
      </c>
      <c r="G42" s="31">
        <v>0.17</v>
      </c>
      <c r="H42" s="31">
        <v>0.17</v>
      </c>
      <c r="I42" s="31">
        <v>0.16</v>
      </c>
      <c r="J42" s="31">
        <v>0.15</v>
      </c>
      <c r="K42" s="31">
        <v>0.14000000000000001</v>
      </c>
      <c r="L42" s="31">
        <v>0.13</v>
      </c>
      <c r="M42" s="31">
        <v>0.125</v>
      </c>
      <c r="N42" s="31">
        <v>0.12</v>
      </c>
    </row>
    <row r="43" spans="1:14" x14ac:dyDescent="0.2">
      <c r="A43" t="s">
        <v>78</v>
      </c>
      <c r="E43" s="32">
        <v>62000</v>
      </c>
      <c r="F43" s="32">
        <v>58000</v>
      </c>
      <c r="G43" s="32">
        <v>50000</v>
      </c>
      <c r="H43" s="32">
        <v>44000</v>
      </c>
      <c r="I43" s="32">
        <v>38000</v>
      </c>
      <c r="J43" s="32">
        <v>33000</v>
      </c>
      <c r="K43" s="32">
        <v>30000</v>
      </c>
      <c r="L43" s="32">
        <v>28000</v>
      </c>
      <c r="M43" s="32">
        <v>27000</v>
      </c>
      <c r="N43" s="32">
        <v>26000</v>
      </c>
    </row>
    <row r="44" spans="1:14" x14ac:dyDescent="0.2">
      <c r="A44" s="6" t="s">
        <v>79</v>
      </c>
    </row>
    <row r="45" spans="1:14" x14ac:dyDescent="0.2">
      <c r="A45" t="s">
        <v>45</v>
      </c>
      <c r="E45" s="31">
        <v>0.27</v>
      </c>
      <c r="F45" s="31">
        <v>0.23</v>
      </c>
      <c r="G45" s="31">
        <v>0.17399999999999999</v>
      </c>
      <c r="H45" s="31">
        <v>0.13200000000000001</v>
      </c>
      <c r="I45" s="31">
        <v>0.1</v>
      </c>
      <c r="J45" s="31">
        <v>8.3000000000000004E-2</v>
      </c>
      <c r="K45" s="31">
        <v>6.9000000000000006E-2</v>
      </c>
      <c r="L45" s="31">
        <v>0.06</v>
      </c>
      <c r="M45" s="31">
        <v>5.2999999999999999E-2</v>
      </c>
      <c r="N45" s="31">
        <v>0.05</v>
      </c>
    </row>
    <row r="46" spans="1:14" x14ac:dyDescent="0.2">
      <c r="A46" t="s">
        <v>46</v>
      </c>
      <c r="E46" s="31">
        <v>0.64500000000000002</v>
      </c>
      <c r="F46" s="31">
        <v>0.64200000000000002</v>
      </c>
      <c r="G46" s="31">
        <v>0.64</v>
      </c>
      <c r="H46" s="31">
        <v>0.64</v>
      </c>
      <c r="I46" s="31">
        <v>0.64</v>
      </c>
      <c r="J46" s="31">
        <v>0.64200000000000002</v>
      </c>
      <c r="K46" s="31">
        <v>0.64500000000000002</v>
      </c>
      <c r="L46" s="31">
        <v>0.64700000000000002</v>
      </c>
      <c r="M46" s="31">
        <v>0.65</v>
      </c>
      <c r="N46" s="31">
        <v>0.65200000000000002</v>
      </c>
    </row>
    <row r="47" spans="1:14" x14ac:dyDescent="0.2">
      <c r="A47" t="s">
        <v>77</v>
      </c>
      <c r="E47" s="31">
        <v>0.13500000000000001</v>
      </c>
      <c r="F47" s="31">
        <v>0.155</v>
      </c>
      <c r="G47" s="31">
        <v>0.17</v>
      </c>
      <c r="H47" s="31">
        <v>0.16500000000000001</v>
      </c>
      <c r="I47" s="31">
        <v>0.15</v>
      </c>
      <c r="J47" s="31">
        <v>0.13500000000000001</v>
      </c>
      <c r="K47" s="31">
        <v>0.12</v>
      </c>
      <c r="L47" s="31">
        <v>0.11</v>
      </c>
      <c r="M47" s="31">
        <v>0.1</v>
      </c>
      <c r="N47" s="31">
        <v>9.7500000000000003E-2</v>
      </c>
    </row>
    <row r="48" spans="1:14" x14ac:dyDescent="0.2">
      <c r="A48" t="s">
        <v>78</v>
      </c>
      <c r="E48" s="32">
        <v>78500</v>
      </c>
      <c r="F48" s="32">
        <v>69000</v>
      </c>
      <c r="G48" s="32">
        <v>55000</v>
      </c>
      <c r="H48" s="32">
        <v>44500</v>
      </c>
      <c r="I48" s="32">
        <v>36500</v>
      </c>
      <c r="J48" s="32">
        <v>30500</v>
      </c>
      <c r="K48" s="32">
        <v>27000</v>
      </c>
      <c r="L48" s="32">
        <v>25000</v>
      </c>
      <c r="M48" s="32">
        <v>24000</v>
      </c>
      <c r="N48" s="32">
        <v>23000</v>
      </c>
    </row>
    <row r="49" spans="1:14" x14ac:dyDescent="0.2">
      <c r="A49" s="6" t="s">
        <v>80</v>
      </c>
    </row>
    <row r="50" spans="1:14" x14ac:dyDescent="0.2">
      <c r="A50" t="s">
        <v>45</v>
      </c>
      <c r="E50" s="31">
        <v>0.33600000000000002</v>
      </c>
      <c r="F50" s="31">
        <v>0.28899999999999998</v>
      </c>
      <c r="G50" s="31">
        <v>0.20699999999999999</v>
      </c>
      <c r="H50" s="31">
        <v>0.14299999999999999</v>
      </c>
      <c r="I50" s="31">
        <v>0.1</v>
      </c>
      <c r="J50" s="31">
        <v>0.08</v>
      </c>
      <c r="K50" s="31">
        <v>6.8000000000000005E-2</v>
      </c>
      <c r="L50" s="31">
        <v>5.8999999999999997E-2</v>
      </c>
      <c r="M50" s="31">
        <v>5.0999999999999997E-2</v>
      </c>
      <c r="N50" s="31">
        <v>4.9000000000000002E-2</v>
      </c>
    </row>
    <row r="51" spans="1:14" x14ac:dyDescent="0.2">
      <c r="A51" t="s">
        <v>46</v>
      </c>
      <c r="E51" s="31">
        <v>0.64500000000000002</v>
      </c>
      <c r="F51" s="31">
        <v>0.64500000000000002</v>
      </c>
      <c r="G51" s="31">
        <v>0.64500000000000002</v>
      </c>
      <c r="H51" s="31">
        <v>0.64800000000000002</v>
      </c>
      <c r="I51" s="31">
        <v>0.65200000000000002</v>
      </c>
      <c r="J51" s="31">
        <v>0.65700000000000003</v>
      </c>
      <c r="K51" s="31">
        <v>0.66200000000000003</v>
      </c>
      <c r="L51" s="31">
        <v>0.66700000000000004</v>
      </c>
      <c r="M51" s="31">
        <v>0.67</v>
      </c>
      <c r="N51" s="31">
        <v>0.67300000000000004</v>
      </c>
    </row>
    <row r="52" spans="1:14" x14ac:dyDescent="0.2">
      <c r="A52" t="s">
        <v>77</v>
      </c>
      <c r="E52" s="31">
        <v>0.12</v>
      </c>
      <c r="F52" s="31">
        <v>0.15</v>
      </c>
      <c r="G52" s="31">
        <v>0.17</v>
      </c>
      <c r="H52" s="31">
        <v>0.16</v>
      </c>
      <c r="I52" s="31">
        <v>0.14000000000000001</v>
      </c>
      <c r="J52" s="31">
        <v>0.12</v>
      </c>
      <c r="K52" s="31">
        <v>0.1</v>
      </c>
      <c r="L52" s="31">
        <v>0.09</v>
      </c>
      <c r="M52" s="31">
        <v>0.08</v>
      </c>
      <c r="N52" s="31">
        <v>7.4999999999999997E-2</v>
      </c>
    </row>
    <row r="53" spans="1:14" x14ac:dyDescent="0.2">
      <c r="A53" t="s">
        <v>78</v>
      </c>
      <c r="E53" s="32">
        <v>95000</v>
      </c>
      <c r="F53" s="32">
        <v>80000</v>
      </c>
      <c r="G53" s="32">
        <v>60000</v>
      </c>
      <c r="H53" s="32">
        <v>45000</v>
      </c>
      <c r="I53" s="32">
        <v>35000</v>
      </c>
      <c r="J53" s="32">
        <v>28000</v>
      </c>
      <c r="K53" s="32">
        <v>24000</v>
      </c>
      <c r="L53" s="32">
        <v>22000</v>
      </c>
      <c r="M53" s="32">
        <v>21000</v>
      </c>
      <c r="N53" s="32">
        <v>20000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2"/>
  <sheetViews>
    <sheetView zoomScaleNormal="100" workbookViewId="0"/>
  </sheetViews>
  <sheetFormatPr baseColWidth="10" defaultColWidth="8.6640625" defaultRowHeight="15" x14ac:dyDescent="0.2"/>
  <cols>
    <col min="1" max="1" width="34" customWidth="1"/>
    <col min="2" max="11" width="12" customWidth="1"/>
  </cols>
  <sheetData>
    <row r="1" spans="1:11" ht="18" x14ac:dyDescent="0.2">
      <c r="A1" s="2" t="s">
        <v>81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">
      <c r="A2" s="5" t="s">
        <v>82</v>
      </c>
    </row>
    <row r="3" spans="1:11" x14ac:dyDescent="0.2">
      <c r="B3" s="33" t="str">
        <f>'Income Statement'!E3</f>
        <v>FY2027E</v>
      </c>
      <c r="C3" s="33" t="str">
        <f>'Income Statement'!F3</f>
        <v>FY2028E</v>
      </c>
      <c r="D3" s="33" t="str">
        <f>'Income Statement'!G3</f>
        <v>FY2029E</v>
      </c>
      <c r="E3" s="33" t="str">
        <f>'Income Statement'!H3</f>
        <v>FY2030E</v>
      </c>
      <c r="F3" s="33" t="str">
        <f>'Income Statement'!I3</f>
        <v>FY2031E</v>
      </c>
      <c r="G3" s="33" t="str">
        <f>'Income Statement'!J3</f>
        <v>FY2032E</v>
      </c>
      <c r="H3" s="33" t="str">
        <f>'Income Statement'!K3</f>
        <v>FY2033E</v>
      </c>
      <c r="I3" s="33" t="str">
        <f>'Income Statement'!L3</f>
        <v>FY2034E</v>
      </c>
      <c r="J3" s="33" t="str">
        <f>'Income Statement'!M3</f>
        <v>FY2035E</v>
      </c>
      <c r="K3" s="33" t="str">
        <f>'Income Statement'!N3</f>
        <v>FY2036E</v>
      </c>
    </row>
    <row r="4" spans="1:11" x14ac:dyDescent="0.2">
      <c r="A4" t="s">
        <v>83</v>
      </c>
      <c r="B4" s="12">
        <f>'Income Statement'!E13</f>
        <v>25663.017</v>
      </c>
      <c r="C4" s="12">
        <f>'Income Statement'!F13</f>
        <v>31775.947649399997</v>
      </c>
      <c r="D4" s="12">
        <f>'Income Statement'!G13</f>
        <v>37552.015272451201</v>
      </c>
      <c r="E4" s="12">
        <f>'Income Statement'!H13</f>
        <v>43068.208673788635</v>
      </c>
      <c r="F4" s="12">
        <f>'Income Statement'!I13</f>
        <v>47990.289665078773</v>
      </c>
      <c r="G4" s="12">
        <f>'Income Statement'!J13</f>
        <v>52473.228742927247</v>
      </c>
      <c r="H4" s="12">
        <f>'Income Statement'!K13</f>
        <v>56628.10896929579</v>
      </c>
      <c r="I4" s="12">
        <f>'Income Statement'!L13</f>
        <v>60403.31623391551</v>
      </c>
      <c r="J4" s="12">
        <f>'Income Statement'!M13</f>
        <v>64200.985981759703</v>
      </c>
      <c r="K4" s="12">
        <f>'Income Statement'!N13</f>
        <v>67828.441072060392</v>
      </c>
    </row>
    <row r="5" spans="1:11" x14ac:dyDescent="0.2">
      <c r="A5" t="s">
        <v>19</v>
      </c>
      <c r="B5" s="11">
        <f>Assumptions!E14</f>
        <v>0.17</v>
      </c>
      <c r="C5" s="11">
        <f>Assumptions!F14</f>
        <v>0.17</v>
      </c>
      <c r="D5" s="11">
        <f>Assumptions!G14</f>
        <v>0.17</v>
      </c>
      <c r="E5" s="11">
        <f>Assumptions!H14</f>
        <v>0.17</v>
      </c>
      <c r="F5" s="11">
        <f>Assumptions!I14</f>
        <v>0.17</v>
      </c>
      <c r="G5" s="11">
        <f>Assumptions!J14</f>
        <v>0.17</v>
      </c>
      <c r="H5" s="11">
        <f>Assumptions!K14</f>
        <v>0.17</v>
      </c>
      <c r="I5" s="11">
        <f>Assumptions!L14</f>
        <v>0.17</v>
      </c>
      <c r="J5" s="11">
        <f>Assumptions!M14</f>
        <v>0.17</v>
      </c>
      <c r="K5" s="11">
        <f>Assumptions!N14</f>
        <v>0.17</v>
      </c>
    </row>
    <row r="6" spans="1:11" x14ac:dyDescent="0.2">
      <c r="A6" t="s">
        <v>84</v>
      </c>
      <c r="B6" s="12">
        <f t="shared" ref="B6:K6" si="0">B4*(1-B5)</f>
        <v>21300.304109999997</v>
      </c>
      <c r="C6" s="12">
        <f t="shared" si="0"/>
        <v>26374.036549001998</v>
      </c>
      <c r="D6" s="12">
        <f t="shared" si="0"/>
        <v>31168.172676134494</v>
      </c>
      <c r="E6" s="12">
        <f t="shared" si="0"/>
        <v>35746.613199244566</v>
      </c>
      <c r="F6" s="12">
        <f t="shared" si="0"/>
        <v>39831.940422015381</v>
      </c>
      <c r="G6" s="12">
        <f t="shared" si="0"/>
        <v>43552.779856629611</v>
      </c>
      <c r="H6" s="12">
        <f t="shared" si="0"/>
        <v>47001.330444515501</v>
      </c>
      <c r="I6" s="12">
        <f t="shared" si="0"/>
        <v>50134.752474149871</v>
      </c>
      <c r="J6" s="12">
        <f t="shared" si="0"/>
        <v>53286.818364860548</v>
      </c>
      <c r="K6" s="12">
        <f t="shared" si="0"/>
        <v>56297.60608981012</v>
      </c>
    </row>
    <row r="7" spans="1:11" x14ac:dyDescent="0.2">
      <c r="A7" t="s">
        <v>85</v>
      </c>
      <c r="B7" s="12">
        <f>'Cash Flow'!E7</f>
        <v>11548.35765</v>
      </c>
      <c r="C7" s="12">
        <f>'Cash Flow'!F7</f>
        <v>16308.847303499999</v>
      </c>
      <c r="D7" s="12">
        <f>'Cash Flow'!G7</f>
        <v>20999.482224725998</v>
      </c>
      <c r="E7" s="12">
        <f>'Cash Flow'!H7</f>
        <v>23072.254646672485</v>
      </c>
      <c r="F7" s="12">
        <f>'Cash Flow'!I7</f>
        <v>23072.254646672485</v>
      </c>
      <c r="G7" s="12">
        <f>'Cash Flow'!J7</f>
        <v>22488.526604111674</v>
      </c>
      <c r="H7" s="12">
        <f>'Cash Flow'!K7</f>
        <v>21369.097724262559</v>
      </c>
      <c r="I7" s="12">
        <f>'Cash Flow'!L7</f>
        <v>20763.639955408453</v>
      </c>
      <c r="J7" s="12">
        <f>'Cash Flow'!M7</f>
        <v>19876.46624822282</v>
      </c>
      <c r="K7" s="12">
        <f>'Cash Flow'!N7</f>
        <v>20348.532321618113</v>
      </c>
    </row>
    <row r="8" spans="1:11" x14ac:dyDescent="0.2">
      <c r="A8" t="s">
        <v>86</v>
      </c>
      <c r="B8" s="12">
        <f>-Assumptions!E16</f>
        <v>-78500</v>
      </c>
      <c r="C8" s="12">
        <f>-Assumptions!F16</f>
        <v>-69000</v>
      </c>
      <c r="D8" s="12">
        <f>-Assumptions!G16</f>
        <v>-55000</v>
      </c>
      <c r="E8" s="12">
        <f>-Assumptions!H16</f>
        <v>-44500</v>
      </c>
      <c r="F8" s="12">
        <f>-Assumptions!I16</f>
        <v>-36500</v>
      </c>
      <c r="G8" s="12">
        <f>-Assumptions!J16</f>
        <v>-30500</v>
      </c>
      <c r="H8" s="12">
        <f>-Assumptions!K16</f>
        <v>-27000</v>
      </c>
      <c r="I8" s="12">
        <f>-Assumptions!L16</f>
        <v>-25000</v>
      </c>
      <c r="J8" s="12">
        <f>-Assumptions!M16</f>
        <v>-24000</v>
      </c>
      <c r="K8" s="12">
        <f>-Assumptions!N16</f>
        <v>-23000</v>
      </c>
    </row>
    <row r="9" spans="1:11" x14ac:dyDescent="0.2">
      <c r="A9" t="s">
        <v>87</v>
      </c>
      <c r="B9" s="12">
        <f>'Cash Flow'!E9+'Cash Flow'!E10+'Cash Flow'!E11+'Cash Flow'!E12</f>
        <v>6690.4507079315108</v>
      </c>
      <c r="C9" s="12">
        <f>'Cash Flow'!F9+'Cash Flow'!F10+'Cash Flow'!F11+'Cash Flow'!F12</f>
        <v>1233.7736145722465</v>
      </c>
      <c r="D9" s="12">
        <f>'Cash Flow'!G9+'Cash Flow'!G10+'Cash Flow'!G11+'Cash Flow'!G12</f>
        <v>496.66496958279822</v>
      </c>
      <c r="E9" s="12">
        <f>'Cash Flow'!H9+'Cash Flow'!H10+'Cash Flow'!H11+'Cash Flow'!H12</f>
        <v>1606.1013865554223</v>
      </c>
      <c r="F9" s="12">
        <f>'Cash Flow'!I9+'Cash Flow'!I10+'Cash Flow'!I11+'Cash Flow'!I12</f>
        <v>1497.8990678642022</v>
      </c>
      <c r="G9" s="12">
        <f>'Cash Flow'!J9+'Cash Flow'!J10+'Cash Flow'!J11+'Cash Flow'!J12</f>
        <v>1484.0822461082571</v>
      </c>
      <c r="H9" s="12">
        <f>'Cash Flow'!K9+'Cash Flow'!K10+'Cash Flow'!K11+'Cash Flow'!K12</f>
        <v>1533.5197743176141</v>
      </c>
      <c r="I9" s="12">
        <f>'Cash Flow'!L9+'Cash Flow'!L10+'Cash Flow'!L11+'Cash Flow'!L12</f>
        <v>1586.3670188404885</v>
      </c>
      <c r="J9" s="12">
        <f>'Cash Flow'!M9+'Cash Flow'!M10+'Cash Flow'!M11+'Cash Flow'!M12</f>
        <v>1558.5502371523453</v>
      </c>
      <c r="K9" s="12">
        <f>'Cash Flow'!N9+'Cash Flow'!N10+'Cash Flow'!N11+'Cash Flow'!N12</f>
        <v>1564.8817562007298</v>
      </c>
    </row>
    <row r="10" spans="1:11" x14ac:dyDescent="0.2">
      <c r="A10" s="7" t="s">
        <v>88</v>
      </c>
      <c r="B10" s="34">
        <f t="shared" ref="B10:K10" si="1">B6+B7+B8+B9</f>
        <v>-38960.887532068497</v>
      </c>
      <c r="C10" s="34">
        <f t="shared" si="1"/>
        <v>-25083.342532925759</v>
      </c>
      <c r="D10" s="34">
        <f t="shared" si="1"/>
        <v>-2335.6801295567093</v>
      </c>
      <c r="E10" s="34">
        <f t="shared" si="1"/>
        <v>15924.969232472471</v>
      </c>
      <c r="F10" s="34">
        <f t="shared" si="1"/>
        <v>27902.09413655207</v>
      </c>
      <c r="G10" s="34">
        <f t="shared" si="1"/>
        <v>37025.388706849539</v>
      </c>
      <c r="H10" s="34">
        <f t="shared" si="1"/>
        <v>42903.947943095671</v>
      </c>
      <c r="I10" s="34">
        <f t="shared" si="1"/>
        <v>47484.759448398814</v>
      </c>
      <c r="J10" s="34">
        <f t="shared" si="1"/>
        <v>50721.834850235711</v>
      </c>
      <c r="K10" s="34">
        <f t="shared" si="1"/>
        <v>55211.020167628958</v>
      </c>
    </row>
    <row r="11" spans="1:11" x14ac:dyDescent="0.2">
      <c r="A11" t="s">
        <v>89</v>
      </c>
      <c r="B11" s="35">
        <v>1</v>
      </c>
      <c r="C11" s="35">
        <v>2</v>
      </c>
      <c r="D11" s="35">
        <v>3</v>
      </c>
      <c r="E11" s="35">
        <v>4</v>
      </c>
      <c r="F11" s="35">
        <v>5</v>
      </c>
      <c r="G11" s="35">
        <v>6</v>
      </c>
      <c r="H11" s="35">
        <v>7</v>
      </c>
      <c r="I11" s="35">
        <v>8</v>
      </c>
      <c r="J11" s="35">
        <v>9</v>
      </c>
      <c r="K11" s="35">
        <v>10</v>
      </c>
    </row>
    <row r="12" spans="1:11" x14ac:dyDescent="0.2">
      <c r="A12" t="s">
        <v>90</v>
      </c>
      <c r="B12" s="36">
        <f t="shared" ref="B12:K12" si="2">1/(1+$B$17)^B11</f>
        <v>0.92165898617511521</v>
      </c>
      <c r="C12" s="36">
        <f t="shared" si="2"/>
        <v>0.84945528679734128</v>
      </c>
      <c r="D12" s="36">
        <f t="shared" si="2"/>
        <v>0.78290809843072917</v>
      </c>
      <c r="E12" s="36">
        <f t="shared" si="2"/>
        <v>0.72157428426795334</v>
      </c>
      <c r="F12" s="36">
        <f t="shared" si="2"/>
        <v>0.66504542328843619</v>
      </c>
      <c r="G12" s="36">
        <f t="shared" si="2"/>
        <v>0.6129450905884205</v>
      </c>
      <c r="H12" s="36">
        <f t="shared" si="2"/>
        <v>0.56492635077273778</v>
      </c>
      <c r="I12" s="36">
        <f t="shared" si="2"/>
        <v>0.52066944771680901</v>
      </c>
      <c r="J12" s="36">
        <f t="shared" si="2"/>
        <v>0.4798796753150314</v>
      </c>
      <c r="K12" s="36">
        <f t="shared" si="2"/>
        <v>0.44228541503689528</v>
      </c>
    </row>
    <row r="13" spans="1:11" x14ac:dyDescent="0.2">
      <c r="A13" t="s">
        <v>91</v>
      </c>
      <c r="B13" s="12">
        <f t="shared" ref="B13:K13" si="3">B10*B12</f>
        <v>-35908.652103288936</v>
      </c>
      <c r="C13" s="12">
        <f t="shared" si="3"/>
        <v>-21307.177925142398</v>
      </c>
      <c r="D13" s="12">
        <f t="shared" si="3"/>
        <v>-1828.6228887736825</v>
      </c>
      <c r="E13" s="12">
        <f t="shared" si="3"/>
        <v>11491.048275910502</v>
      </c>
      <c r="F13" s="12">
        <f t="shared" si="3"/>
        <v>18556.160005677066</v>
      </c>
      <c r="G13" s="12">
        <f t="shared" si="3"/>
        <v>22694.530234991373</v>
      </c>
      <c r="H13" s="12">
        <f t="shared" si="3"/>
        <v>24237.570745236546</v>
      </c>
      <c r="I13" s="12">
        <f t="shared" si="3"/>
        <v>24723.863476963339</v>
      </c>
      <c r="J13" s="12">
        <f t="shared" si="3"/>
        <v>24340.377639313756</v>
      </c>
      <c r="K13" s="12">
        <f t="shared" si="3"/>
        <v>24419.02896945017</v>
      </c>
    </row>
    <row r="15" spans="1:11" x14ac:dyDescent="0.2">
      <c r="A15" s="3" t="s">
        <v>92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7" spans="1:2" x14ac:dyDescent="0.2">
      <c r="A17" s="7" t="s">
        <v>93</v>
      </c>
      <c r="B17" s="37">
        <f>0.085</f>
        <v>8.5000000000000006E-2</v>
      </c>
    </row>
    <row r="18" spans="1:2" x14ac:dyDescent="0.2">
      <c r="A18" s="7" t="s">
        <v>94</v>
      </c>
      <c r="B18" s="37">
        <f>0.03</f>
        <v>0.03</v>
      </c>
    </row>
    <row r="19" spans="1:2" x14ac:dyDescent="0.2">
      <c r="A19" t="s">
        <v>95</v>
      </c>
      <c r="B19" s="12">
        <f>SUM(B13:K13)</f>
        <v>91418.126430337739</v>
      </c>
    </row>
    <row r="20" spans="1:2" x14ac:dyDescent="0.2">
      <c r="A20" t="s">
        <v>96</v>
      </c>
      <c r="B20" s="12">
        <f>K10</f>
        <v>55211.020167628958</v>
      </c>
    </row>
    <row r="21" spans="1:2" x14ac:dyDescent="0.2">
      <c r="A21" t="s">
        <v>97</v>
      </c>
      <c r="B21" s="12">
        <f>K10*(1+B18)/(B17-B18)</f>
        <v>1033951.8322301423</v>
      </c>
    </row>
    <row r="22" spans="1:2" x14ac:dyDescent="0.2">
      <c r="A22" t="s">
        <v>98</v>
      </c>
      <c r="B22" s="12">
        <f>B21*K12</f>
        <v>457301.81524606684</v>
      </c>
    </row>
    <row r="23" spans="1:2" x14ac:dyDescent="0.2">
      <c r="A23" t="s">
        <v>99</v>
      </c>
      <c r="B23" s="12">
        <f>B19+B22</f>
        <v>548719.94167640456</v>
      </c>
    </row>
    <row r="24" spans="1:2" x14ac:dyDescent="0.2">
      <c r="A24" t="s">
        <v>100</v>
      </c>
      <c r="B24" s="12">
        <f>-('Balance Sheet'!D20+'Balance Sheet'!D24)</f>
        <v>-129541</v>
      </c>
    </row>
    <row r="25" spans="1:2" x14ac:dyDescent="0.2">
      <c r="A25" t="s">
        <v>101</v>
      </c>
      <c r="B25" s="12">
        <f>'Balance Sheet'!D7+'Balance Sheet'!D8</f>
        <v>31894</v>
      </c>
    </row>
    <row r="26" spans="1:2" x14ac:dyDescent="0.2">
      <c r="A26" t="s">
        <v>102</v>
      </c>
      <c r="B26" s="12">
        <f>-'Balance Sheet'!D30</f>
        <v>-4954</v>
      </c>
    </row>
    <row r="27" spans="1:2" x14ac:dyDescent="0.2">
      <c r="A27" t="s">
        <v>103</v>
      </c>
      <c r="B27" s="12">
        <f>B23+B24+B25+B26</f>
        <v>446118.94167640456</v>
      </c>
    </row>
    <row r="28" spans="1:2" x14ac:dyDescent="0.2">
      <c r="A28" t="s">
        <v>20</v>
      </c>
      <c r="B28" s="13">
        <f>'Income Statement'!D24</f>
        <v>2914</v>
      </c>
    </row>
    <row r="29" spans="1:2" x14ac:dyDescent="0.2">
      <c r="A29" s="7" t="s">
        <v>4</v>
      </c>
      <c r="B29" s="8">
        <f>B27/B28</f>
        <v>153.09503832409217</v>
      </c>
    </row>
    <row r="30" spans="1:2" x14ac:dyDescent="0.2">
      <c r="A30" t="s">
        <v>104</v>
      </c>
      <c r="B30" s="9">
        <f>114.99</f>
        <v>114.99</v>
      </c>
    </row>
    <row r="31" spans="1:2" x14ac:dyDescent="0.2">
      <c r="A31" s="7" t="s">
        <v>6</v>
      </c>
      <c r="B31" s="10">
        <f>B29/B30-1</f>
        <v>0.33137697472903893</v>
      </c>
    </row>
    <row r="32" spans="1:2" x14ac:dyDescent="0.2">
      <c r="A32" t="s">
        <v>15</v>
      </c>
      <c r="B32" s="11">
        <f>B22/B23</f>
        <v>0.83339747749818516</v>
      </c>
    </row>
    <row r="34" spans="1:7" x14ac:dyDescent="0.2">
      <c r="A34" s="5" t="s">
        <v>105</v>
      </c>
      <c r="B34" s="38">
        <f>(SUMPRODUCT($B$10:$K$10,1/(1+$B$17)^$B$11:$K$11)-0.08*SUMPRODUCT($B$4:$K$4,1/(1+$B$17)^$B$11:$K$11)+($K$10-0.08*$K$4)*(1+$B$18)/($B$17-$B$18)/(1+$B$17)^10+$B$24+$B$25+$B$26)/$B$28</f>
        <v>129.45031764203995</v>
      </c>
    </row>
    <row r="36" spans="1:7" x14ac:dyDescent="0.2">
      <c r="A36" s="3" t="s">
        <v>106</v>
      </c>
      <c r="B36" s="3"/>
      <c r="C36" s="3"/>
      <c r="D36" s="3"/>
      <c r="E36" s="3"/>
      <c r="F36" s="3"/>
      <c r="G36" s="3"/>
    </row>
    <row r="37" spans="1:7" x14ac:dyDescent="0.2">
      <c r="A37" s="7" t="s">
        <v>107</v>
      </c>
      <c r="B37" s="10">
        <v>0.02</v>
      </c>
      <c r="C37" s="10">
        <v>2.5000000000000001E-2</v>
      </c>
      <c r="D37" s="10">
        <v>0.03</v>
      </c>
      <c r="E37" s="10">
        <v>3.5000000000000003E-2</v>
      </c>
      <c r="F37" s="10">
        <v>0.04</v>
      </c>
    </row>
    <row r="38" spans="1:7" x14ac:dyDescent="0.2">
      <c r="A38" s="10">
        <v>7.4999999999999997E-2</v>
      </c>
      <c r="B38" s="9">
        <f t="shared" ref="B38:F42" si="4">(SUMPRODUCT($B$10:$K$10,1/(1+$A38)^$B$11:$K$11)+($K$10*(1+B$37)/($A38-B$37))/(1+$A38)^10+$B$24+$B$25+$B$26)/$B$28</f>
        <v>170.02317797040931</v>
      </c>
      <c r="C38" s="9">
        <f t="shared" si="4"/>
        <v>187.99107941341987</v>
      </c>
      <c r="D38" s="9">
        <f t="shared" si="4"/>
        <v>209.9518478437661</v>
      </c>
      <c r="E38" s="9">
        <f t="shared" si="4"/>
        <v>237.40280838169886</v>
      </c>
      <c r="F38" s="9">
        <f t="shared" si="4"/>
        <v>272.6969005018982</v>
      </c>
    </row>
    <row r="39" spans="1:7" x14ac:dyDescent="0.2">
      <c r="A39" s="10">
        <v>0.08</v>
      </c>
      <c r="B39" s="9">
        <f t="shared" si="4"/>
        <v>147.00597032706838</v>
      </c>
      <c r="C39" s="9">
        <f t="shared" si="4"/>
        <v>161.36676555446101</v>
      </c>
      <c r="D39" s="9">
        <f t="shared" si="4"/>
        <v>178.59971982733214</v>
      </c>
      <c r="E39" s="9">
        <f t="shared" si="4"/>
        <v>199.66221949417462</v>
      </c>
      <c r="F39" s="9">
        <f t="shared" si="4"/>
        <v>225.99034407772768</v>
      </c>
    </row>
    <row r="40" spans="1:7" x14ac:dyDescent="0.2">
      <c r="A40" s="10">
        <v>8.5000000000000006E-2</v>
      </c>
      <c r="B40" s="9">
        <f t="shared" si="4"/>
        <v>127.66233444280199</v>
      </c>
      <c r="C40" s="9">
        <f t="shared" si="4"/>
        <v>139.3189903883933</v>
      </c>
      <c r="D40" s="9">
        <f t="shared" si="4"/>
        <v>153.09503832409217</v>
      </c>
      <c r="E40" s="9">
        <f t="shared" si="4"/>
        <v>169.62629584693076</v>
      </c>
      <c r="F40" s="9">
        <f t="shared" si="4"/>
        <v>189.83116615262242</v>
      </c>
    </row>
    <row r="41" spans="1:7" x14ac:dyDescent="0.2">
      <c r="A41" s="10">
        <v>0.09</v>
      </c>
      <c r="B41" s="9">
        <f t="shared" si="4"/>
        <v>111.20103597204857</v>
      </c>
      <c r="C41" s="9">
        <f t="shared" si="4"/>
        <v>120.78745372816759</v>
      </c>
      <c r="D41" s="9">
        <f t="shared" si="4"/>
        <v>131.97160777697317</v>
      </c>
      <c r="E41" s="9">
        <f t="shared" si="4"/>
        <v>145.189244380107</v>
      </c>
      <c r="F41" s="9">
        <f t="shared" si="4"/>
        <v>161.05040830386761</v>
      </c>
    </row>
    <row r="42" spans="1:7" x14ac:dyDescent="0.2">
      <c r="A42" s="10">
        <v>0.1</v>
      </c>
      <c r="B42" s="9">
        <f t="shared" si="4"/>
        <v>84.750264780275742</v>
      </c>
      <c r="C42" s="9">
        <f t="shared" si="4"/>
        <v>91.446347530506401</v>
      </c>
      <c r="D42" s="9">
        <f t="shared" si="4"/>
        <v>99.099013530770051</v>
      </c>
      <c r="E42" s="9">
        <f t="shared" si="4"/>
        <v>107.9290127618435</v>
      </c>
      <c r="F42" s="9">
        <f t="shared" si="4"/>
        <v>118.23067853142915</v>
      </c>
    </row>
  </sheetData>
  <mergeCells count="3">
    <mergeCell ref="A1:K1"/>
    <mergeCell ref="A15:K15"/>
    <mergeCell ref="A36:G36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4"/>
  <sheetViews>
    <sheetView zoomScaleNormal="100" workbookViewId="0"/>
  </sheetViews>
  <sheetFormatPr baseColWidth="10" defaultColWidth="8.6640625" defaultRowHeight="15" x14ac:dyDescent="0.2"/>
  <cols>
    <col min="1" max="1" width="32" customWidth="1"/>
    <col min="2" max="11" width="12" customWidth="1"/>
  </cols>
  <sheetData>
    <row r="1" spans="1:11" ht="17" x14ac:dyDescent="0.2">
      <c r="A1" s="1" t="s">
        <v>108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 x14ac:dyDescent="0.2">
      <c r="A3" s="3" t="s">
        <v>109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">
      <c r="A4" t="s">
        <v>110</v>
      </c>
      <c r="B4" s="12">
        <f>'Income Statement'!D5*(1+Assumptions!E40)</f>
        <v>80828.399999999994</v>
      </c>
      <c r="C4" s="12">
        <f>B4*(1+Assumptions!F40)</f>
        <v>94569.227999999988</v>
      </c>
      <c r="D4" s="12">
        <f>C4*(1+Assumptions!G40)</f>
        <v>107808.91992</v>
      </c>
      <c r="E4" s="12">
        <f>D4*(1+Assumptions!H40)</f>
        <v>120745.99031040001</v>
      </c>
      <c r="F4" s="12">
        <f>E4*(1+Assumptions!I40)</f>
        <v>132820.58934144003</v>
      </c>
      <c r="G4" s="12">
        <f>F4*(1+Assumptions!J40)</f>
        <v>144110.33943546243</v>
      </c>
      <c r="H4" s="12">
        <f>G4*(1+Assumptions!K40)</f>
        <v>154198.06319594482</v>
      </c>
      <c r="I4" s="12">
        <f>H4*(1+Assumptions!L40)</f>
        <v>163449.94698770152</v>
      </c>
      <c r="J4" s="12">
        <f>I4*(1+Assumptions!M40)</f>
        <v>172439.6940720251</v>
      </c>
      <c r="K4" s="12">
        <f>J4*(1+Assumptions!N40)</f>
        <v>181061.67877562635</v>
      </c>
    </row>
    <row r="5" spans="1:11" x14ac:dyDescent="0.2">
      <c r="A5" t="s">
        <v>111</v>
      </c>
      <c r="B5" s="12">
        <f>B4*(Assumptions!E41-(Assumptions!E7+Assumptions!E8+Assumptions!E9))</f>
        <v>24248.52</v>
      </c>
      <c r="C5" s="12">
        <f>C4*(Assumptions!F41-(Assumptions!F7+Assumptions!F8+Assumptions!F9))</f>
        <v>28370.768400000001</v>
      </c>
      <c r="D5" s="12">
        <f>D4*(Assumptions!G41-(Assumptions!G7+Assumptions!G8+Assumptions!G9))</f>
        <v>32234.867056080006</v>
      </c>
      <c r="E5" s="12">
        <f>E4*(Assumptions!H41-(Assumptions!H7+Assumptions!H8+Assumptions!H9))</f>
        <v>35982.305112499205</v>
      </c>
      <c r="F5" s="12">
        <f>F4*(Assumptions!I41-(Assumptions!I7+Assumptions!I8+Assumptions!I9))</f>
        <v>39447.715034407687</v>
      </c>
      <c r="G5" s="12">
        <f>G4*(Assumptions!J41-(Assumptions!J7+Assumptions!J8+Assumptions!J9))</f>
        <v>42944.881151767797</v>
      </c>
      <c r="H5" s="12">
        <f>H4*(Assumptions!K41-(Assumptions!K7+Assumptions!K8+Assumptions!K9))</f>
        <v>45951.022832391543</v>
      </c>
      <c r="I5" s="12">
        <f>I4*(Assumptions!L41-(Assumptions!L7+Assumptions!L8+Assumptions!L9))</f>
        <v>48708.084202335041</v>
      </c>
      <c r="J5" s="12">
        <f>J4*(Assumptions!M41-(Assumptions!M7+Assumptions!M8+Assumptions!M9))</f>
        <v>51387.028833463468</v>
      </c>
      <c r="K5" s="12">
        <f>K4*(Assumptions!N41-(Assumptions!N7+Assumptions!N8+Assumptions!N9))</f>
        <v>53956.380275136638</v>
      </c>
    </row>
    <row r="6" spans="1:11" x14ac:dyDescent="0.2">
      <c r="A6" t="s">
        <v>85</v>
      </c>
      <c r="B6" s="12">
        <f>B4*Assumptions!E42</f>
        <v>12124.259999999998</v>
      </c>
      <c r="C6" s="12">
        <f>C4*Assumptions!F42</f>
        <v>15131.076479999998</v>
      </c>
      <c r="D6" s="12">
        <f>D4*Assumptions!G42</f>
        <v>18327.516386400002</v>
      </c>
      <c r="E6" s="12">
        <f>E4*Assumptions!H42</f>
        <v>20526.818352768005</v>
      </c>
      <c r="F6" s="12">
        <f>F4*Assumptions!I42</f>
        <v>21251.294294630407</v>
      </c>
      <c r="G6" s="12">
        <f>G4*Assumptions!J42</f>
        <v>21616.550915319363</v>
      </c>
      <c r="H6" s="12">
        <f>H4*Assumptions!K42</f>
        <v>21587.728847432278</v>
      </c>
      <c r="I6" s="12">
        <f>I4*Assumptions!L42</f>
        <v>21248.493108401199</v>
      </c>
      <c r="J6" s="12">
        <f>J4*Assumptions!M42</f>
        <v>21554.961759003138</v>
      </c>
      <c r="K6" s="12">
        <f>K4*Assumptions!N42</f>
        <v>21727.401453075163</v>
      </c>
    </row>
    <row r="7" spans="1:11" x14ac:dyDescent="0.2">
      <c r="A7" t="s">
        <v>86</v>
      </c>
      <c r="B7" s="12">
        <f>Assumptions!E43</f>
        <v>62000</v>
      </c>
      <c r="C7" s="12">
        <f>Assumptions!F43</f>
        <v>58000</v>
      </c>
      <c r="D7" s="12">
        <f>Assumptions!G43</f>
        <v>50000</v>
      </c>
      <c r="E7" s="12">
        <f>Assumptions!H43</f>
        <v>44000</v>
      </c>
      <c r="F7" s="12">
        <f>Assumptions!I43</f>
        <v>38000</v>
      </c>
      <c r="G7" s="12">
        <f>Assumptions!J43</f>
        <v>33000</v>
      </c>
      <c r="H7" s="12">
        <f>Assumptions!K43</f>
        <v>30000</v>
      </c>
      <c r="I7" s="12">
        <f>Assumptions!L43</f>
        <v>28000</v>
      </c>
      <c r="J7" s="12">
        <f>Assumptions!M43</f>
        <v>27000</v>
      </c>
      <c r="K7" s="12">
        <f>Assumptions!N43</f>
        <v>26000</v>
      </c>
    </row>
    <row r="8" spans="1:11" x14ac:dyDescent="0.2">
      <c r="A8" t="s">
        <v>112</v>
      </c>
      <c r="B8" s="12">
        <f>B4*Assumptions!E17/365</f>
        <v>12401.069589041095</v>
      </c>
      <c r="C8" s="12">
        <f>C4*Assumptions!F17/365</f>
        <v>14509.251419178079</v>
      </c>
      <c r="D8" s="12">
        <f>D4*Assumptions!G17/365</f>
        <v>16540.546617863012</v>
      </c>
      <c r="E8" s="12">
        <f>E4*Assumptions!H17/365</f>
        <v>18525.412212006577</v>
      </c>
      <c r="F8" s="12">
        <f>F4*Assumptions!I17/365</f>
        <v>20377.95343320724</v>
      </c>
      <c r="G8" s="12">
        <f>G4*Assumptions!J17/365</f>
        <v>22110.079475029856</v>
      </c>
      <c r="H8" s="12">
        <f>H4*Assumptions!K17/365</f>
        <v>23657.785038281945</v>
      </c>
      <c r="I8" s="12">
        <f>I4*Assumptions!L17/365</f>
        <v>25077.252140578861</v>
      </c>
      <c r="J8" s="12">
        <f>J4*Assumptions!M17/365</f>
        <v>26456.501008310701</v>
      </c>
      <c r="K8" s="12">
        <f>K4*Assumptions!N17/365</f>
        <v>27779.326058726238</v>
      </c>
    </row>
    <row r="9" spans="1:11" x14ac:dyDescent="0.2">
      <c r="A9" t="s">
        <v>113</v>
      </c>
      <c r="B9" s="12">
        <f>B4*Assumptions!E19</f>
        <v>5173.0176000000001</v>
      </c>
      <c r="C9" s="12">
        <f>C4*Assumptions!F19</f>
        <v>6052.4305919999997</v>
      </c>
      <c r="D9" s="12">
        <f>D4*Assumptions!G19</f>
        <v>6899.7708748800005</v>
      </c>
      <c r="E9" s="12">
        <f>E4*Assumptions!H19</f>
        <v>7727.7433798656011</v>
      </c>
      <c r="F9" s="12">
        <f>F4*Assumptions!I19</f>
        <v>8500.5177178521626</v>
      </c>
      <c r="G9" s="12">
        <f>G4*Assumptions!J19</f>
        <v>9223.0617238695959</v>
      </c>
      <c r="H9" s="12">
        <f>H4*Assumptions!K19</f>
        <v>9868.6760445404689</v>
      </c>
      <c r="I9" s="12">
        <f>I4*Assumptions!L19</f>
        <v>10460.796607212898</v>
      </c>
      <c r="J9" s="12">
        <f>J4*Assumptions!M19</f>
        <v>11036.140420609607</v>
      </c>
      <c r="K9" s="12">
        <f>K4*Assumptions!N19</f>
        <v>11587.947441640086</v>
      </c>
    </row>
    <row r="10" spans="1:11" x14ac:dyDescent="0.2">
      <c r="A10" t="s">
        <v>114</v>
      </c>
      <c r="B10" s="12">
        <f>(B4*(1-Assumptions!E41)+Assumptions!E43)*Assumptions!E18</f>
        <v>12697.171480000001</v>
      </c>
      <c r="C10" s="12">
        <f>(C4*(1-Assumptions!F41)+Assumptions!F43)*Assumptions!F18</f>
        <v>11965.839870399999</v>
      </c>
      <c r="D10" s="12">
        <f>(D4*(1-Assumptions!G41)+Assumptions!G43)*Assumptions!G18</f>
        <v>10722.030692495999</v>
      </c>
      <c r="E10" s="12">
        <f>(E4*(1-Assumptions!H41)+Assumptions!H43)*Assumptions!H18</f>
        <v>10641.121969781761</v>
      </c>
      <c r="F10" s="12">
        <f>(F4*(1-Assumptions!I41)+Assumptions!I43)*Assumptions!I18</f>
        <v>10536.926520364801</v>
      </c>
      <c r="G10" s="12">
        <f>(G4*(1-Assumptions!J41)+Assumptions!J43)*Assumptions!J18</f>
        <v>10444.96527459581</v>
      </c>
      <c r="H10" s="12">
        <f>(H4*(1-Assumptions!K41)+Assumptions!K43)*Assumptions!K18</f>
        <v>10538.912843817518</v>
      </c>
      <c r="I10" s="12">
        <f>(I4*(1-Assumptions!L41)+Assumptions!L43)*Assumptions!L18</f>
        <v>10715.247614446567</v>
      </c>
      <c r="J10" s="12">
        <f>(J4*(1-Assumptions!M41)+Assumptions!M43)*Assumptions!M18</f>
        <v>10999.786233241128</v>
      </c>
      <c r="K10" s="12">
        <f>(K4*(1-Assumptions!N41)+Assumptions!N43)*Assumptions!N18</f>
        <v>11267.775544903185</v>
      </c>
    </row>
    <row r="11" spans="1:11" x14ac:dyDescent="0.2">
      <c r="A11" t="s">
        <v>115</v>
      </c>
      <c r="B11" s="12">
        <f>B4*(Assumptions!E20+Assumptions!E21+Assumptions!E22)</f>
        <v>28289.939999999995</v>
      </c>
      <c r="C11" s="12">
        <f>C4*(Assumptions!F20+Assumptions!F21+Assumptions!F22)</f>
        <v>33099.229799999994</v>
      </c>
      <c r="D11" s="12">
        <f>D4*(Assumptions!G20+Assumptions!G21+Assumptions!G22)</f>
        <v>37733.121972000001</v>
      </c>
      <c r="E11" s="12">
        <f>E4*(Assumptions!H20+Assumptions!H21+Assumptions!H22)</f>
        <v>42261.09660864</v>
      </c>
      <c r="F11" s="12">
        <f>F4*(Assumptions!I20+Assumptions!I21+Assumptions!I22)</f>
        <v>46487.206269504008</v>
      </c>
      <c r="G11" s="12">
        <f>G4*(Assumptions!J20+Assumptions!J21+Assumptions!J22)</f>
        <v>50438.618802411846</v>
      </c>
      <c r="H11" s="12">
        <f>H4*(Assumptions!K20+Assumptions!K21+Assumptions!K22)</f>
        <v>53969.322118580683</v>
      </c>
      <c r="I11" s="12">
        <f>I4*(Assumptions!L20+Assumptions!L21+Assumptions!L22)</f>
        <v>57207.481445695528</v>
      </c>
      <c r="J11" s="12">
        <f>J4*(Assumptions!M20+Assumptions!M21+Assumptions!M22)</f>
        <v>60353.892925208784</v>
      </c>
      <c r="K11" s="12">
        <f>K4*(Assumptions!N20+Assumptions!N21+Assumptions!N22)</f>
        <v>63371.587571469216</v>
      </c>
    </row>
    <row r="12" spans="1:11" x14ac:dyDescent="0.2">
      <c r="A12" t="s">
        <v>87</v>
      </c>
      <c r="B12" s="12">
        <f>-(B8-'Balance Sheet'!D9)-(B9-'Balance Sheet'!D10)+(B10-'Balance Sheet'!D18)+(B11-('Balance Sheet'!D19+'Balance Sheet'!D21+'Balance Sheet'!D22))</f>
        <v>3521.0242909589006</v>
      </c>
      <c r="C12" s="12">
        <f t="shared" ref="C12:K12" si="0">-(C8-B8)-(C9-B9)+(C10-B10)+(C11-B11)</f>
        <v>1090.3633682630134</v>
      </c>
      <c r="D12" s="12">
        <f t="shared" si="0"/>
        <v>511.44751253107279</v>
      </c>
      <c r="E12" s="12">
        <f t="shared" si="0"/>
        <v>1634.2278147965972</v>
      </c>
      <c r="F12" s="12">
        <f t="shared" si="0"/>
        <v>1496.5986522598223</v>
      </c>
      <c r="G12" s="12">
        <f t="shared" si="0"/>
        <v>1404.781239298798</v>
      </c>
      <c r="H12" s="12">
        <f t="shared" si="0"/>
        <v>1431.3310014675826</v>
      </c>
      <c r="I12" s="12">
        <f t="shared" si="0"/>
        <v>1402.9064327745491</v>
      </c>
      <c r="J12" s="12">
        <f t="shared" si="0"/>
        <v>1476.3574171792679</v>
      </c>
      <c r="K12" s="12">
        <f t="shared" si="0"/>
        <v>1411.0518864764726</v>
      </c>
    </row>
    <row r="13" spans="1:11" x14ac:dyDescent="0.2">
      <c r="A13" s="7" t="s">
        <v>116</v>
      </c>
      <c r="B13" s="34">
        <f>B5*(1-Assumptions!E14)+B6-B7+B12</f>
        <v>-26228.444109041102</v>
      </c>
      <c r="C13" s="34">
        <f>C5*(1-Assumptions!F14)+C6-C7+C12</f>
        <v>-18230.82237973699</v>
      </c>
      <c r="D13" s="34">
        <f>D5*(1-Assumptions!G14)+D6-D7+D12</f>
        <v>-4406.0964445225236</v>
      </c>
      <c r="E13" s="34">
        <f>E5*(1-Assumptions!H14)+E6-E7+E12</f>
        <v>8026.359410938936</v>
      </c>
      <c r="F13" s="34">
        <f>F5*(1-Assumptions!I14)+F6-F7+F12</f>
        <v>17489.496425448608</v>
      </c>
      <c r="G13" s="34">
        <f>G5*(1-Assumptions!J14)+G6-G7+G12</f>
        <v>25665.583510585428</v>
      </c>
      <c r="H13" s="34">
        <f>H5*(1-Assumptions!K14)+H6-H7+H12</f>
        <v>31158.40879978484</v>
      </c>
      <c r="I13" s="34">
        <f>I5*(1-Assumptions!L14)+I6-I7+I12</f>
        <v>35079.109429113829</v>
      </c>
      <c r="J13" s="34">
        <f>J5*(1-Assumptions!M14)+J6-J7+J12</f>
        <v>38682.553107957079</v>
      </c>
      <c r="K13" s="34">
        <f>K5*(1-Assumptions!N14)+K6-K7+K12</f>
        <v>41922.248967915046</v>
      </c>
    </row>
    <row r="14" spans="1:11" x14ac:dyDescent="0.2">
      <c r="A14" t="s">
        <v>90</v>
      </c>
      <c r="B14" s="36">
        <f>1/(1+DCF!$B$17)^1</f>
        <v>0.92165898617511521</v>
      </c>
      <c r="C14" s="36">
        <f>1/(1+DCF!$B$17)^2</f>
        <v>0.84945528679734128</v>
      </c>
      <c r="D14" s="36">
        <f>1/(1+DCF!$B$17)^3</f>
        <v>0.78290809843072917</v>
      </c>
      <c r="E14" s="36">
        <f>1/(1+DCF!$B$17)^4</f>
        <v>0.72157428426795334</v>
      </c>
      <c r="F14" s="36">
        <f>1/(1+DCF!$B$17)^5</f>
        <v>0.66504542328843619</v>
      </c>
      <c r="G14" s="36">
        <f>1/(1+DCF!$B$17)^6</f>
        <v>0.6129450905884205</v>
      </c>
      <c r="H14" s="36">
        <f>1/(1+DCF!$B$17)^7</f>
        <v>0.56492635077273778</v>
      </c>
      <c r="I14" s="36">
        <f>1/(1+DCF!$B$17)^8</f>
        <v>0.52066944771680901</v>
      </c>
      <c r="J14" s="36">
        <f>1/(1+DCF!$B$17)^9</f>
        <v>0.4798796753150314</v>
      </c>
      <c r="K14" s="36">
        <f>1/(1+DCF!$B$17)^10</f>
        <v>0.44228541503689528</v>
      </c>
    </row>
    <row r="15" spans="1:11" x14ac:dyDescent="0.2">
      <c r="A15" t="s">
        <v>91</v>
      </c>
      <c r="B15" s="12">
        <f t="shared" ref="B15:K15" si="1">B13*B14</f>
        <v>-24173.681206489495</v>
      </c>
      <c r="C15" s="12">
        <f t="shared" si="1"/>
        <v>-15486.268453130873</v>
      </c>
      <c r="D15" s="12">
        <f t="shared" si="1"/>
        <v>-3449.5685888835255</v>
      </c>
      <c r="E15" s="12">
        <f t="shared" si="1"/>
        <v>5791.6145472256139</v>
      </c>
      <c r="F15" s="12">
        <f t="shared" si="1"/>
        <v>11631.309553364061</v>
      </c>
      <c r="G15" s="12">
        <f t="shared" si="1"/>
        <v>15731.593409900457</v>
      </c>
      <c r="H15" s="12">
        <f t="shared" si="1"/>
        <v>17602.206179147612</v>
      </c>
      <c r="I15" s="12">
        <f t="shared" si="1"/>
        <v>18264.620532854206</v>
      </c>
      <c r="J15" s="12">
        <f t="shared" si="1"/>
        <v>18562.971025802901</v>
      </c>
      <c r="K15" s="12">
        <f t="shared" si="1"/>
        <v>18541.599284054362</v>
      </c>
    </row>
    <row r="17" spans="1:11" x14ac:dyDescent="0.2">
      <c r="A17" s="3" t="s">
        <v>117</v>
      </c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2">
      <c r="A18" t="s">
        <v>110</v>
      </c>
      <c r="B18" s="12">
        <f>'Income Statement'!D5*(1+Assumptions!E45)</f>
        <v>85543.39</v>
      </c>
      <c r="C18" s="12">
        <f>B18*(1+Assumptions!F45)</f>
        <v>105218.3697</v>
      </c>
      <c r="D18" s="12">
        <f>C18*(1+Assumptions!G45)</f>
        <v>123526.36602779999</v>
      </c>
      <c r="E18" s="12">
        <f>D18*(1+Assumptions!H45)</f>
        <v>139831.8463434696</v>
      </c>
      <c r="F18" s="12">
        <f>E18*(1+Assumptions!I45)</f>
        <v>153815.03097781658</v>
      </c>
      <c r="G18" s="12">
        <f>F18*(1+Assumptions!J45)</f>
        <v>166581.67854897535</v>
      </c>
      <c r="H18" s="12">
        <f>G18*(1+Assumptions!K45)</f>
        <v>178075.81436885466</v>
      </c>
      <c r="I18" s="12">
        <f>H18*(1+Assumptions!L45)</f>
        <v>188760.36323098594</v>
      </c>
      <c r="J18" s="12">
        <f>I18*(1+Assumptions!M45)</f>
        <v>198764.66248222819</v>
      </c>
      <c r="K18" s="12">
        <f>J18*(1+Assumptions!N45)</f>
        <v>208702.89560633962</v>
      </c>
    </row>
    <row r="19" spans="1:11" x14ac:dyDescent="0.2">
      <c r="A19" t="s">
        <v>111</v>
      </c>
      <c r="B19" s="12">
        <f>B18*(Assumptions!E46-(Assumptions!E7+Assumptions!E8+Assumptions!E9))</f>
        <v>25663.017000000003</v>
      </c>
      <c r="C19" s="12">
        <f>C18*(Assumptions!F46-(Assumptions!F7+Assumptions!F8+Assumptions!F9))</f>
        <v>31775.947649400005</v>
      </c>
      <c r="D19" s="12">
        <f>D18*(Assumptions!G46-(Assumptions!G7+Assumptions!G8+Assumptions!G9))</f>
        <v>37552.015272451201</v>
      </c>
      <c r="E19" s="12">
        <f>E18*(Assumptions!H46-(Assumptions!H7+Assumptions!H8+Assumptions!H9))</f>
        <v>43068.208673788642</v>
      </c>
      <c r="F19" s="12">
        <f>F18*(Assumptions!I46-(Assumptions!I7+Assumptions!I8+Assumptions!I9))</f>
        <v>47990.289665078773</v>
      </c>
      <c r="G19" s="12">
        <f>G18*(Assumptions!J46-(Assumptions!J7+Assumptions!J8+Assumptions!J9))</f>
        <v>52473.228742927226</v>
      </c>
      <c r="H19" s="12">
        <f>H18*(Assumptions!K46-(Assumptions!K7+Assumptions!K8+Assumptions!K9))</f>
        <v>56628.108969295768</v>
      </c>
      <c r="I19" s="12">
        <f>I18*(Assumptions!L46-(Assumptions!L7+Assumptions!L8+Assumptions!L9))</f>
        <v>60403.316233915488</v>
      </c>
      <c r="J19" s="12">
        <f>J18*(Assumptions!M46-(Assumptions!M7+Assumptions!M8+Assumptions!M9))</f>
        <v>64200.985981759695</v>
      </c>
      <c r="K19" s="12">
        <f>K18*(Assumptions!N46-(Assumptions!N7+Assumptions!N8+Assumptions!N9))</f>
        <v>67828.441072060363</v>
      </c>
    </row>
    <row r="20" spans="1:11" x14ac:dyDescent="0.2">
      <c r="A20" t="s">
        <v>85</v>
      </c>
      <c r="B20" s="12">
        <f>B18*Assumptions!E47</f>
        <v>11548.35765</v>
      </c>
      <c r="C20" s="12">
        <f>C18*Assumptions!F47</f>
        <v>16308.847303499999</v>
      </c>
      <c r="D20" s="12">
        <f>D18*Assumptions!G47</f>
        <v>20999.482224725998</v>
      </c>
      <c r="E20" s="12">
        <f>E18*Assumptions!H47</f>
        <v>23072.254646672485</v>
      </c>
      <c r="F20" s="12">
        <f>F18*Assumptions!I47</f>
        <v>23072.254646672485</v>
      </c>
      <c r="G20" s="12">
        <f>G18*Assumptions!J47</f>
        <v>22488.526604111674</v>
      </c>
      <c r="H20" s="12">
        <f>H18*Assumptions!K47</f>
        <v>21369.097724262559</v>
      </c>
      <c r="I20" s="12">
        <f>I18*Assumptions!L47</f>
        <v>20763.639955408453</v>
      </c>
      <c r="J20" s="12">
        <f>J18*Assumptions!M47</f>
        <v>19876.46624822282</v>
      </c>
      <c r="K20" s="12">
        <f>K18*Assumptions!N47</f>
        <v>20348.532321618113</v>
      </c>
    </row>
    <row r="21" spans="1:11" x14ac:dyDescent="0.2">
      <c r="A21" t="s">
        <v>86</v>
      </c>
      <c r="B21" s="12">
        <f>Assumptions!E48</f>
        <v>78500</v>
      </c>
      <c r="C21" s="12">
        <f>Assumptions!F48</f>
        <v>69000</v>
      </c>
      <c r="D21" s="12">
        <f>Assumptions!G48</f>
        <v>55000</v>
      </c>
      <c r="E21" s="12">
        <f>Assumptions!H48</f>
        <v>44500</v>
      </c>
      <c r="F21" s="12">
        <f>Assumptions!I48</f>
        <v>36500</v>
      </c>
      <c r="G21" s="12">
        <f>Assumptions!J48</f>
        <v>30500</v>
      </c>
      <c r="H21" s="12">
        <f>Assumptions!K48</f>
        <v>27000</v>
      </c>
      <c r="I21" s="12">
        <f>Assumptions!L48</f>
        <v>25000</v>
      </c>
      <c r="J21" s="12">
        <f>Assumptions!M48</f>
        <v>24000</v>
      </c>
      <c r="K21" s="12">
        <f>Assumptions!N48</f>
        <v>23000</v>
      </c>
    </row>
    <row r="22" spans="1:11" x14ac:dyDescent="0.2">
      <c r="A22" t="s">
        <v>112</v>
      </c>
      <c r="B22" s="12">
        <f>B18*Assumptions!E17/365</f>
        <v>13124.465315068494</v>
      </c>
      <c r="C22" s="12">
        <f>C18*Assumptions!F17/365</f>
        <v>16143.092337534245</v>
      </c>
      <c r="D22" s="12">
        <f>D18*Assumptions!G17/365</f>
        <v>18951.990404265202</v>
      </c>
      <c r="E22" s="12">
        <f>E18*Assumptions!H17/365</f>
        <v>21453.653137628215</v>
      </c>
      <c r="F22" s="12">
        <f>F18*Assumptions!I17/365</f>
        <v>23599.018451391039</v>
      </c>
      <c r="G22" s="12">
        <f>G18*Assumptions!J17/365</f>
        <v>25557.736982856492</v>
      </c>
      <c r="H22" s="12">
        <f>H18*Assumptions!K17/365</f>
        <v>27321.22083467359</v>
      </c>
      <c r="I22" s="12">
        <f>I18*Assumptions!L17/365</f>
        <v>28960.494084754006</v>
      </c>
      <c r="J22" s="12">
        <f>J18*Assumptions!M17/365</f>
        <v>30495.40027124597</v>
      </c>
      <c r="K22" s="12">
        <f>K18*Assumptions!N17/365</f>
        <v>32020.170284808268</v>
      </c>
    </row>
    <row r="23" spans="1:11" x14ac:dyDescent="0.2">
      <c r="A23" t="s">
        <v>113</v>
      </c>
      <c r="B23" s="12">
        <f>B18*Assumptions!E19</f>
        <v>5474.7769600000001</v>
      </c>
      <c r="C23" s="12">
        <f>C18*Assumptions!F19</f>
        <v>6733.9756607999998</v>
      </c>
      <c r="D23" s="12">
        <f>D18*Assumptions!G19</f>
        <v>7905.6874257791997</v>
      </c>
      <c r="E23" s="12">
        <f>E18*Assumptions!H19</f>
        <v>8949.2381659820549</v>
      </c>
      <c r="F23" s="12">
        <f>F18*Assumptions!I19</f>
        <v>9844.1619825802609</v>
      </c>
      <c r="G23" s="12">
        <f>G18*Assumptions!J19</f>
        <v>10661.227427134423</v>
      </c>
      <c r="H23" s="12">
        <f>H18*Assumptions!K19</f>
        <v>11396.852119606698</v>
      </c>
      <c r="I23" s="12">
        <f>I18*Assumptions!L19</f>
        <v>12080.6632467831</v>
      </c>
      <c r="J23" s="12">
        <f>J18*Assumptions!M19</f>
        <v>12720.938398862605</v>
      </c>
      <c r="K23" s="12">
        <f>K18*Assumptions!N19</f>
        <v>13356.985318805735</v>
      </c>
    </row>
    <row r="24" spans="1:11" x14ac:dyDescent="0.2">
      <c r="A24" t="s">
        <v>114</v>
      </c>
      <c r="B24" s="12">
        <f>(B18*(1-Assumptions!E46)+Assumptions!E48)*Assumptions!E18</f>
        <v>15241.506483000001</v>
      </c>
      <c r="C24" s="12">
        <f>(C18*(1-Assumptions!F46)+Assumptions!F48)*Assumptions!F18</f>
        <v>13866.862925838001</v>
      </c>
      <c r="D24" s="12">
        <f>(D18*(1-Assumptions!G46)+Assumptions!G48)*Assumptions!G18</f>
        <v>11936.339012400958</v>
      </c>
      <c r="E24" s="12">
        <f>(E18*(1-Assumptions!H46)+Assumptions!H48)*Assumptions!H18</f>
        <v>11380.735762037886</v>
      </c>
      <c r="F24" s="12">
        <f>(F18*(1-Assumptions!I46)+Assumptions!I48)*Assumptions!I18</f>
        <v>11024.809338241676</v>
      </c>
      <c r="G24" s="12">
        <f>(G18*(1-Assumptions!J46)+Assumptions!J48)*Assumptions!J18</f>
        <v>10816.348910463979</v>
      </c>
      <c r="H24" s="12">
        <f>(H18*(1-Assumptions!K46)+Assumptions!K48)*Assumptions!K18</f>
        <v>10826.029692113207</v>
      </c>
      <c r="I24" s="12">
        <f>(I18*(1-Assumptions!L46)+Assumptions!L48)*Assumptions!L18</f>
        <v>10995.888986464563</v>
      </c>
      <c r="J24" s="12">
        <f>(J18*(1-Assumptions!M46)+Assumptions!M48)*Assumptions!M18</f>
        <v>11228.115824253584</v>
      </c>
      <c r="K24" s="12">
        <f>(K18*(1-Assumptions!N46)+Assumptions!N48)*Assumptions!N18</f>
        <v>11475.432920520741</v>
      </c>
    </row>
    <row r="25" spans="1:11" x14ac:dyDescent="0.2">
      <c r="A25" t="s">
        <v>115</v>
      </c>
      <c r="B25" s="12">
        <f>B18*(Assumptions!E20+Assumptions!E21+Assumptions!E22)</f>
        <v>29940.186499999996</v>
      </c>
      <c r="C25" s="12">
        <f>C18*(Assumptions!F20+Assumptions!F21+Assumptions!F22)</f>
        <v>36826.429394999999</v>
      </c>
      <c r="D25" s="12">
        <f>D18*(Assumptions!G20+Assumptions!G21+Assumptions!G22)</f>
        <v>43234.228109729993</v>
      </c>
      <c r="E25" s="12">
        <f>E18*(Assumptions!H20+Assumptions!H21+Assumptions!H22)</f>
        <v>48941.146220214359</v>
      </c>
      <c r="F25" s="12">
        <f>F18*(Assumptions!I20+Assumptions!I21+Assumptions!I22)</f>
        <v>53835.260842235803</v>
      </c>
      <c r="G25" s="12">
        <f>G18*(Assumptions!J20+Assumptions!J21+Assumptions!J22)</f>
        <v>58303.587492141371</v>
      </c>
      <c r="H25" s="12">
        <f>H18*(Assumptions!K20+Assumptions!K21+Assumptions!K22)</f>
        <v>62326.535029099126</v>
      </c>
      <c r="I25" s="12">
        <f>I18*(Assumptions!L20+Assumptions!L21+Assumptions!L22)</f>
        <v>66066.127130845081</v>
      </c>
      <c r="J25" s="12">
        <f>J18*(Assumptions!M20+Assumptions!M21+Assumptions!M22)</f>
        <v>69567.631868779863</v>
      </c>
      <c r="K25" s="12">
        <f>K18*(Assumptions!N20+Assumptions!N21+Assumptions!N22)</f>
        <v>73046.013462218863</v>
      </c>
    </row>
    <row r="26" spans="1:11" x14ac:dyDescent="0.2">
      <c r="A26" t="s">
        <v>87</v>
      </c>
      <c r="B26" s="12">
        <f>-(B22-'Balance Sheet'!D9)-(B23-'Balance Sheet'!D10)+(B24-'Balance Sheet'!D18)+(B25-('Balance Sheet'!D19+'Balance Sheet'!D21+'Balance Sheet'!D22))</f>
        <v>6690.4507079315035</v>
      </c>
      <c r="C26" s="12">
        <f t="shared" ref="C26:K26" si="2">-(C22-B22)-(C23-B23)+(C24-B24)+(C25-B25)</f>
        <v>1233.773614572252</v>
      </c>
      <c r="D26" s="12">
        <f t="shared" si="2"/>
        <v>496.66496958279458</v>
      </c>
      <c r="E26" s="12">
        <f t="shared" si="2"/>
        <v>1606.101386555426</v>
      </c>
      <c r="F26" s="12">
        <f t="shared" si="2"/>
        <v>1497.8990678642022</v>
      </c>
      <c r="G26" s="12">
        <f t="shared" si="2"/>
        <v>1484.0822461082571</v>
      </c>
      <c r="H26" s="12">
        <f t="shared" si="2"/>
        <v>1533.5197743176104</v>
      </c>
      <c r="I26" s="12">
        <f t="shared" si="2"/>
        <v>1586.3670188404922</v>
      </c>
      <c r="J26" s="12">
        <f t="shared" si="2"/>
        <v>1558.5502371523344</v>
      </c>
      <c r="K26" s="12">
        <f t="shared" si="2"/>
        <v>1564.8817562007298</v>
      </c>
    </row>
    <row r="27" spans="1:11" x14ac:dyDescent="0.2">
      <c r="A27" s="7" t="s">
        <v>116</v>
      </c>
      <c r="B27" s="34">
        <f>B19*(1-Assumptions!E14)+B20-B21+B26</f>
        <v>-38960.887532068497</v>
      </c>
      <c r="C27" s="34">
        <f>C19*(1-Assumptions!F14)+C20-C21+C26</f>
        <v>-25083.342532925752</v>
      </c>
      <c r="D27" s="34">
        <f>D19*(1-Assumptions!G14)+D20-D21+D26</f>
        <v>-2335.6801295567129</v>
      </c>
      <c r="E27" s="34">
        <f>E19*(1-Assumptions!H14)+E20-E21+E26</f>
        <v>15924.969232472489</v>
      </c>
      <c r="F27" s="34">
        <f>F19*(1-Assumptions!I14)+F20-F21+F26</f>
        <v>27902.09413655207</v>
      </c>
      <c r="G27" s="34">
        <f>G19*(1-Assumptions!J14)+G20-G21+G26</f>
        <v>37025.388706849524</v>
      </c>
      <c r="H27" s="34">
        <f>H19*(1-Assumptions!K14)+H20-H21+H26</f>
        <v>42903.947943095656</v>
      </c>
      <c r="I27" s="34">
        <f>I19*(1-Assumptions!L14)+I20-I21+I26</f>
        <v>47484.759448398792</v>
      </c>
      <c r="J27" s="34">
        <f>J19*(1-Assumptions!M14)+J20-J21+J26</f>
        <v>50721.834850235697</v>
      </c>
      <c r="K27" s="34">
        <f>K19*(1-Assumptions!N14)+K20-K21+K26</f>
        <v>55211.020167628943</v>
      </c>
    </row>
    <row r="28" spans="1:11" x14ac:dyDescent="0.2">
      <c r="A28" t="s">
        <v>90</v>
      </c>
      <c r="B28" s="36">
        <f>1/(1+DCF!$B$17)^1</f>
        <v>0.92165898617511521</v>
      </c>
      <c r="C28" s="36">
        <f>1/(1+DCF!$B$17)^2</f>
        <v>0.84945528679734128</v>
      </c>
      <c r="D28" s="36">
        <f>1/(1+DCF!$B$17)^3</f>
        <v>0.78290809843072917</v>
      </c>
      <c r="E28" s="36">
        <f>1/(1+DCF!$B$17)^4</f>
        <v>0.72157428426795334</v>
      </c>
      <c r="F28" s="36">
        <f>1/(1+DCF!$B$17)^5</f>
        <v>0.66504542328843619</v>
      </c>
      <c r="G28" s="36">
        <f>1/(1+DCF!$B$17)^6</f>
        <v>0.6129450905884205</v>
      </c>
      <c r="H28" s="36">
        <f>1/(1+DCF!$B$17)^7</f>
        <v>0.56492635077273778</v>
      </c>
      <c r="I28" s="36">
        <f>1/(1+DCF!$B$17)^8</f>
        <v>0.52066944771680901</v>
      </c>
      <c r="J28" s="36">
        <f>1/(1+DCF!$B$17)^9</f>
        <v>0.4798796753150314</v>
      </c>
      <c r="K28" s="36">
        <f>1/(1+DCF!$B$17)^10</f>
        <v>0.44228541503689528</v>
      </c>
    </row>
    <row r="29" spans="1:11" x14ac:dyDescent="0.2">
      <c r="A29" t="s">
        <v>91</v>
      </c>
      <c r="B29" s="12">
        <f t="shared" ref="B29:K29" si="3">B27*B28</f>
        <v>-35908.652103288936</v>
      </c>
      <c r="C29" s="12">
        <f t="shared" si="3"/>
        <v>-21307.177925142394</v>
      </c>
      <c r="D29" s="12">
        <f t="shared" si="3"/>
        <v>-1828.6228887736852</v>
      </c>
      <c r="E29" s="12">
        <f t="shared" si="3"/>
        <v>11491.048275910514</v>
      </c>
      <c r="F29" s="12">
        <f t="shared" si="3"/>
        <v>18556.160005677066</v>
      </c>
      <c r="G29" s="12">
        <f t="shared" si="3"/>
        <v>22694.530234991362</v>
      </c>
      <c r="H29" s="12">
        <f t="shared" si="3"/>
        <v>24237.570745236539</v>
      </c>
      <c r="I29" s="12">
        <f t="shared" si="3"/>
        <v>24723.863476963328</v>
      </c>
      <c r="J29" s="12">
        <f t="shared" si="3"/>
        <v>24340.377639313749</v>
      </c>
      <c r="K29" s="12">
        <f t="shared" si="3"/>
        <v>24419.028969450163</v>
      </c>
    </row>
    <row r="31" spans="1:11" x14ac:dyDescent="0.2">
      <c r="A31" s="3" t="s">
        <v>118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">
      <c r="A32" t="s">
        <v>110</v>
      </c>
      <c r="B32" s="12">
        <f>'Income Statement'!D5*(1+Assumptions!E50)</f>
        <v>89988.952000000005</v>
      </c>
      <c r="C32" s="12">
        <f>B32*(1+Assumptions!F50)</f>
        <v>115995.75912800001</v>
      </c>
      <c r="D32" s="12">
        <f>C32*(1+Assumptions!G50)</f>
        <v>140006.88126749601</v>
      </c>
      <c r="E32" s="12">
        <f>D32*(1+Assumptions!H50)</f>
        <v>160027.86528874794</v>
      </c>
      <c r="F32" s="12">
        <f>E32*(1+Assumptions!I50)</f>
        <v>176030.65181762274</v>
      </c>
      <c r="G32" s="12">
        <f>F32*(1+Assumptions!J50)</f>
        <v>190113.10396303257</v>
      </c>
      <c r="H32" s="12">
        <f>G32*(1+Assumptions!K50)</f>
        <v>203040.7950325188</v>
      </c>
      <c r="I32" s="12">
        <f>H32*(1+Assumptions!L50)</f>
        <v>215020.20193943739</v>
      </c>
      <c r="J32" s="12">
        <f>I32*(1+Assumptions!M50)</f>
        <v>225986.23223834869</v>
      </c>
      <c r="K32" s="12">
        <f>J32*(1+Assumptions!N50)</f>
        <v>237059.55761802776</v>
      </c>
    </row>
    <row r="33" spans="1:11" x14ac:dyDescent="0.2">
      <c r="A33" t="s">
        <v>111</v>
      </c>
      <c r="B33" s="12">
        <f>B32*(Assumptions!E51-(Assumptions!E7+Assumptions!E8+Assumptions!E9))</f>
        <v>26996.685600000004</v>
      </c>
      <c r="C33" s="12">
        <f>C32*(Assumptions!F51-(Assumptions!F7+Assumptions!F8+Assumptions!F9))</f>
        <v>35378.706534040008</v>
      </c>
      <c r="D33" s="12">
        <f>D32*(Assumptions!G51-(Assumptions!G7+Assumptions!G8+Assumptions!G9))</f>
        <v>43262.126311656277</v>
      </c>
      <c r="E33" s="12">
        <f>E32*(Assumptions!H51-(Assumptions!H7+Assumptions!H8+Assumptions!H9))</f>
        <v>50568.805431244356</v>
      </c>
      <c r="F33" s="12">
        <f>F32*(Assumptions!I51-(Assumptions!I7+Assumptions!I8+Assumptions!I9))</f>
        <v>57033.931188909766</v>
      </c>
      <c r="G33" s="12">
        <f>G32*(Assumptions!J51-(Assumptions!J7+Assumptions!J8+Assumptions!J9))</f>
        <v>62737.324307800744</v>
      </c>
      <c r="H33" s="12">
        <f>H32*(Assumptions!K51-(Assumptions!K7+Assumptions!K8+Assumptions!K9))</f>
        <v>68018.666335893795</v>
      </c>
      <c r="I33" s="12">
        <f>I32*(Assumptions!L51-(Assumptions!L7+Assumptions!L8+Assumptions!L9))</f>
        <v>73106.868659408705</v>
      </c>
      <c r="J33" s="12">
        <f>J32*(Assumptions!M51-(Assumptions!M7+Assumptions!M8+Assumptions!M9))</f>
        <v>77513.277657753599</v>
      </c>
      <c r="K33" s="12">
        <f>K32*(Assumptions!N51-(Assumptions!N7+Assumptions!N8+Assumptions!N9))</f>
        <v>82022.606935837597</v>
      </c>
    </row>
    <row r="34" spans="1:11" x14ac:dyDescent="0.2">
      <c r="A34" t="s">
        <v>85</v>
      </c>
      <c r="B34" s="12">
        <f>B32*Assumptions!E52</f>
        <v>10798.67424</v>
      </c>
      <c r="C34" s="12">
        <f>C32*Assumptions!F52</f>
        <v>17399.363869199999</v>
      </c>
      <c r="D34" s="12">
        <f>D32*Assumptions!G52</f>
        <v>23801.169815474324</v>
      </c>
      <c r="E34" s="12">
        <f>E32*Assumptions!H52</f>
        <v>25604.458446199671</v>
      </c>
      <c r="F34" s="12">
        <f>F32*Assumptions!I52</f>
        <v>24644.291254467185</v>
      </c>
      <c r="G34" s="12">
        <f>G32*Assumptions!J52</f>
        <v>22813.572475563906</v>
      </c>
      <c r="H34" s="12">
        <f>H32*Assumptions!K52</f>
        <v>20304.07950325188</v>
      </c>
      <c r="I34" s="12">
        <f>I32*Assumptions!L52</f>
        <v>19351.818174549364</v>
      </c>
      <c r="J34" s="12">
        <f>J32*Assumptions!M52</f>
        <v>18078.898579067896</v>
      </c>
      <c r="K34" s="12">
        <f>K32*Assumptions!N52</f>
        <v>17779.466821352082</v>
      </c>
    </row>
    <row r="35" spans="1:11" x14ac:dyDescent="0.2">
      <c r="A35" t="s">
        <v>86</v>
      </c>
      <c r="B35" s="12">
        <f>Assumptions!E53</f>
        <v>95000</v>
      </c>
      <c r="C35" s="12">
        <f>Assumptions!F53</f>
        <v>80000</v>
      </c>
      <c r="D35" s="12">
        <f>Assumptions!G53</f>
        <v>60000</v>
      </c>
      <c r="E35" s="12">
        <f>Assumptions!H53</f>
        <v>45000</v>
      </c>
      <c r="F35" s="12">
        <f>Assumptions!I53</f>
        <v>35000</v>
      </c>
      <c r="G35" s="12">
        <f>Assumptions!J53</f>
        <v>28000</v>
      </c>
      <c r="H35" s="12">
        <f>Assumptions!K53</f>
        <v>24000</v>
      </c>
      <c r="I35" s="12">
        <f>Assumptions!L53</f>
        <v>22000</v>
      </c>
      <c r="J35" s="12">
        <f>Assumptions!M53</f>
        <v>21000</v>
      </c>
      <c r="K35" s="12">
        <f>Assumptions!N53</f>
        <v>20000</v>
      </c>
    </row>
    <row r="36" spans="1:11" x14ac:dyDescent="0.2">
      <c r="A36" t="s">
        <v>112</v>
      </c>
      <c r="B36" s="12">
        <f>B32*Assumptions!E17/365</f>
        <v>13806.524142465752</v>
      </c>
      <c r="C36" s="12">
        <f>C32*Assumptions!F17/365</f>
        <v>17796.609619638359</v>
      </c>
      <c r="D36" s="12">
        <f>D32*Assumptions!G17/365</f>
        <v>21480.507810903495</v>
      </c>
      <c r="E36" s="12">
        <f>E32*Assumptions!H17/365</f>
        <v>24552.220427862696</v>
      </c>
      <c r="F36" s="12">
        <f>F32*Assumptions!I17/365</f>
        <v>27007.442470648966</v>
      </c>
      <c r="G36" s="12">
        <f>G32*Assumptions!J17/365</f>
        <v>29168.037868300886</v>
      </c>
      <c r="H36" s="12">
        <f>H32*Assumptions!K17/365</f>
        <v>31151.464443345347</v>
      </c>
      <c r="I36" s="12">
        <f>I32*Assumptions!L17/365</f>
        <v>32989.400845502729</v>
      </c>
      <c r="J36" s="12">
        <f>J32*Assumptions!M17/365</f>
        <v>34671.860288623364</v>
      </c>
      <c r="K36" s="12">
        <f>K32*Assumptions!N17/365</f>
        <v>36370.781442765903</v>
      </c>
    </row>
    <row r="37" spans="1:11" x14ac:dyDescent="0.2">
      <c r="A37" t="s">
        <v>113</v>
      </c>
      <c r="B37" s="12">
        <f>B32*Assumptions!E19</f>
        <v>5759.2929280000008</v>
      </c>
      <c r="C37" s="12">
        <f>C32*Assumptions!F19</f>
        <v>7423.7285841920002</v>
      </c>
      <c r="D37" s="12">
        <f>D32*Assumptions!G19</f>
        <v>8960.4404011197439</v>
      </c>
      <c r="E37" s="12">
        <f>E32*Assumptions!H19</f>
        <v>10241.783378479868</v>
      </c>
      <c r="F37" s="12">
        <f>F32*Assumptions!I19</f>
        <v>11265.961716327856</v>
      </c>
      <c r="G37" s="12">
        <f>G32*Assumptions!J19</f>
        <v>12167.238653634085</v>
      </c>
      <c r="H37" s="12">
        <f>H32*Assumptions!K19</f>
        <v>12994.610882081204</v>
      </c>
      <c r="I37" s="12">
        <f>I32*Assumptions!L19</f>
        <v>13761.292924123993</v>
      </c>
      <c r="J37" s="12">
        <f>J32*Assumptions!M19</f>
        <v>14463.118863254316</v>
      </c>
      <c r="K37" s="12">
        <f>K32*Assumptions!N19</f>
        <v>15171.811687553776</v>
      </c>
    </row>
    <row r="38" spans="1:11" x14ac:dyDescent="0.2">
      <c r="A38" t="s">
        <v>114</v>
      </c>
      <c r="B38" s="12">
        <f>(B32*(1-Assumptions!E51)+Assumptions!E53)*Assumptions!E18</f>
        <v>17772.4509144</v>
      </c>
      <c r="C38" s="12">
        <f>(C32*(1-Assumptions!F51)+Assumptions!F53)*Assumptions!F18</f>
        <v>15753.204283757201</v>
      </c>
      <c r="D38" s="12">
        <f>(D32*(1-Assumptions!G51)+Assumptions!G53)*Assumptions!G18</f>
        <v>13164.293141995329</v>
      </c>
      <c r="E38" s="12">
        <f>(E32*(1-Assumptions!H51)+Assumptions!H53)*Assumptions!H18</f>
        <v>12159.577029796712</v>
      </c>
      <c r="F38" s="12">
        <f>(F32*(1-Assumptions!I51)+Assumptions!I53)*Assumptions!I18</f>
        <v>11551.040019903925</v>
      </c>
      <c r="G38" s="12">
        <f>(G32*(1-Assumptions!J51)+Assumptions!J53)*Assumptions!J18</f>
        <v>11185.05535911842</v>
      </c>
      <c r="H38" s="12">
        <f>(H32*(1-Assumptions!K51)+Assumptions!K53)*Assumptions!K18</f>
        <v>11115.334646518961</v>
      </c>
      <c r="I38" s="12">
        <f>(I32*(1-Assumptions!L51)+Assumptions!L53)*Assumptions!L18</f>
        <v>11232.207269499917</v>
      </c>
      <c r="J38" s="12">
        <f>(J32*(1-Assumptions!M51)+Assumptions!M53)*Assumptions!M18</f>
        <v>11469.054796638606</v>
      </c>
      <c r="K38" s="12">
        <f>(K32*(1-Assumptions!N51)+Assumptions!N53)*Assumptions!N18</f>
        <v>11702.217040931408</v>
      </c>
    </row>
    <row r="39" spans="1:11" x14ac:dyDescent="0.2">
      <c r="A39" t="s">
        <v>115</v>
      </c>
      <c r="B39" s="12">
        <f>B32*(Assumptions!E20+Assumptions!E21+Assumptions!E22)</f>
        <v>31496.1332</v>
      </c>
      <c r="C39" s="12">
        <f>C32*(Assumptions!F20+Assumptions!F21+Assumptions!F22)</f>
        <v>40598.5156948</v>
      </c>
      <c r="D39" s="12">
        <f>D32*(Assumptions!G20+Assumptions!G21+Assumptions!G22)</f>
        <v>49002.408443623601</v>
      </c>
      <c r="E39" s="12">
        <f>E32*(Assumptions!H20+Assumptions!H21+Assumptions!H22)</f>
        <v>56009.752851061778</v>
      </c>
      <c r="F39" s="12">
        <f>F32*(Assumptions!I20+Assumptions!I21+Assumptions!I22)</f>
        <v>61610.728136167956</v>
      </c>
      <c r="G39" s="12">
        <f>G32*(Assumptions!J20+Assumptions!J21+Assumptions!J22)</f>
        <v>66539.586387061398</v>
      </c>
      <c r="H39" s="12">
        <f>H32*(Assumptions!K20+Assumptions!K21+Assumptions!K22)</f>
        <v>71064.27826138158</v>
      </c>
      <c r="I39" s="12">
        <f>I32*(Assumptions!L20+Assumptions!L21+Assumptions!L22)</f>
        <v>75257.07067880308</v>
      </c>
      <c r="J39" s="12">
        <f>J32*(Assumptions!M20+Assumptions!M21+Assumptions!M22)</f>
        <v>79095.181283422033</v>
      </c>
      <c r="K39" s="12">
        <f>K32*(Assumptions!N20+Assumptions!N21+Assumptions!N22)</f>
        <v>82970.845166309708</v>
      </c>
    </row>
    <row r="40" spans="1:11" x14ac:dyDescent="0.2">
      <c r="A40" t="s">
        <v>87</v>
      </c>
      <c r="B40" s="12">
        <f>-(B36-'Balance Sheet'!D9)-(B37-'Balance Sheet'!D10)+(B38-'Balance Sheet'!D18)+(B39-('Balance Sheet'!D19+'Balance Sheet'!D21+'Balance Sheet'!D22))</f>
        <v>9810.7670439342473</v>
      </c>
      <c r="C40" s="12">
        <f t="shared" ref="C40:K40" si="4">-(C36-B36)-(C37-B37)+(C38-B38)+(C39-B39)</f>
        <v>1428.6147307925949</v>
      </c>
      <c r="D40" s="12">
        <f t="shared" si="4"/>
        <v>594.37159886884911</v>
      </c>
      <c r="E40" s="12">
        <f t="shared" si="4"/>
        <v>1649.5727009202346</v>
      </c>
      <c r="F40" s="12">
        <f t="shared" si="4"/>
        <v>1513.0378945791326</v>
      </c>
      <c r="G40" s="12">
        <f t="shared" si="4"/>
        <v>1501.0012551497875</v>
      </c>
      <c r="H40" s="12">
        <f t="shared" si="4"/>
        <v>1644.1723582291434</v>
      </c>
      <c r="I40" s="12">
        <f t="shared" si="4"/>
        <v>1705.0465962022863</v>
      </c>
      <c r="J40" s="12">
        <f t="shared" si="4"/>
        <v>1690.6727495066825</v>
      </c>
      <c r="K40" s="12">
        <f t="shared" si="4"/>
        <v>1701.2121487384775</v>
      </c>
    </row>
    <row r="41" spans="1:11" x14ac:dyDescent="0.2">
      <c r="A41" s="7" t="s">
        <v>116</v>
      </c>
      <c r="B41" s="34">
        <f>B33*(1-Assumptions!E14)+B34-B35+B40</f>
        <v>-51983.309668065747</v>
      </c>
      <c r="C41" s="34">
        <f>C33*(1-Assumptions!F14)+C34-C35+C40</f>
        <v>-31807.694976754203</v>
      </c>
      <c r="D41" s="34">
        <f>D33*(1-Assumptions!G14)+D34-D35+D40</f>
        <v>303.10625301787513</v>
      </c>
      <c r="E41" s="34">
        <f>E33*(1-Assumptions!H14)+E34-E35+E40</f>
        <v>24226.139655052724</v>
      </c>
      <c r="F41" s="34">
        <f>F33*(1-Assumptions!I14)+F34-F35+F40</f>
        <v>38495.492035841409</v>
      </c>
      <c r="G41" s="34">
        <f>G33*(1-Assumptions!J14)+G34-G35+G40</f>
        <v>48386.552906188306</v>
      </c>
      <c r="H41" s="34">
        <f>H33*(1-Assumptions!K14)+H34-H35+H40</f>
        <v>54403.744920272875</v>
      </c>
      <c r="I41" s="34">
        <f>I33*(1-Assumptions!L14)+I34-I35+I40</f>
        <v>59735.565758060882</v>
      </c>
      <c r="J41" s="34">
        <f>J33*(1-Assumptions!M14)+J34-J35+J40</f>
        <v>63105.591784510056</v>
      </c>
      <c r="K41" s="34">
        <f>K33*(1-Assumptions!N14)+K34-K35+K40</f>
        <v>67559.442726835754</v>
      </c>
    </row>
    <row r="42" spans="1:11" x14ac:dyDescent="0.2">
      <c r="A42" t="s">
        <v>90</v>
      </c>
      <c r="B42" s="36">
        <f>1/(1+DCF!$B$17)^1</f>
        <v>0.92165898617511521</v>
      </c>
      <c r="C42" s="36">
        <f>1/(1+DCF!$B$17)^2</f>
        <v>0.84945528679734128</v>
      </c>
      <c r="D42" s="36">
        <f>1/(1+DCF!$B$17)^3</f>
        <v>0.78290809843072917</v>
      </c>
      <c r="E42" s="36">
        <f>1/(1+DCF!$B$17)^4</f>
        <v>0.72157428426795334</v>
      </c>
      <c r="F42" s="36">
        <f>1/(1+DCF!$B$17)^5</f>
        <v>0.66504542328843619</v>
      </c>
      <c r="G42" s="36">
        <f>1/(1+DCF!$B$17)^6</f>
        <v>0.6129450905884205</v>
      </c>
      <c r="H42" s="36">
        <f>1/(1+DCF!$B$17)^7</f>
        <v>0.56492635077273778</v>
      </c>
      <c r="I42" s="36">
        <f>1/(1+DCF!$B$17)^8</f>
        <v>0.52066944771680901</v>
      </c>
      <c r="J42" s="36">
        <f>1/(1+DCF!$B$17)^9</f>
        <v>0.4798796753150314</v>
      </c>
      <c r="K42" s="36">
        <f>1/(1+DCF!$B$17)^10</f>
        <v>0.44228541503689528</v>
      </c>
    </row>
    <row r="43" spans="1:11" x14ac:dyDescent="0.2">
      <c r="A43" t="s">
        <v>91</v>
      </c>
      <c r="B43" s="12">
        <f t="shared" ref="B43:K43" si="5">B41*B42</f>
        <v>-47910.884486696545</v>
      </c>
      <c r="C43" s="12">
        <f t="shared" si="5"/>
        <v>-27019.214658841094</v>
      </c>
      <c r="D43" s="12">
        <f t="shared" si="5"/>
        <v>237.30434017268809</v>
      </c>
      <c r="E43" s="12">
        <f t="shared" si="5"/>
        <v>17480.959382170153</v>
      </c>
      <c r="F43" s="12">
        <f t="shared" si="5"/>
        <v>25601.250795672775</v>
      </c>
      <c r="G43" s="12">
        <f t="shared" si="5"/>
        <v>29658.300054344993</v>
      </c>
      <c r="H43" s="12">
        <f t="shared" si="5"/>
        <v>30734.109086180626</v>
      </c>
      <c r="I43" s="12">
        <f t="shared" si="5"/>
        <v>31102.484032300687</v>
      </c>
      <c r="J43" s="12">
        <f t="shared" si="5"/>
        <v>30283.090896113597</v>
      </c>
      <c r="K43" s="12">
        <f t="shared" si="5"/>
        <v>29880.556166099908</v>
      </c>
    </row>
    <row r="45" spans="1:11" x14ac:dyDescent="0.2">
      <c r="A45" s="3" t="s">
        <v>119</v>
      </c>
      <c r="B45" s="3"/>
      <c r="C45" s="3"/>
      <c r="D45" s="3"/>
      <c r="E45" s="3"/>
    </row>
    <row r="46" spans="1:11" x14ac:dyDescent="0.2">
      <c r="A46" s="7" t="s">
        <v>8</v>
      </c>
      <c r="B46" s="7" t="s">
        <v>9</v>
      </c>
      <c r="C46" s="7" t="s">
        <v>10</v>
      </c>
      <c r="D46" s="7" t="s">
        <v>11</v>
      </c>
    </row>
    <row r="47" spans="1:11" x14ac:dyDescent="0.2">
      <c r="A47" t="s">
        <v>120</v>
      </c>
      <c r="B47" s="12">
        <f>SUM(B15:K15)</f>
        <v>63016.396283845315</v>
      </c>
      <c r="C47" s="12">
        <f>SUM(B29:K29)</f>
        <v>91418.126430337696</v>
      </c>
      <c r="D47" s="12">
        <f>SUM(B43:K43)</f>
        <v>120047.9556075178</v>
      </c>
    </row>
    <row r="48" spans="1:11" x14ac:dyDescent="0.2">
      <c r="A48" t="s">
        <v>97</v>
      </c>
      <c r="B48" s="12">
        <f>K13*(1+DCF!$B$18)/(DCF!$B$17-DCF!$B$18)</f>
        <v>785089.38976277248</v>
      </c>
      <c r="C48" s="12">
        <f>K27*(1+DCF!$B$18)/(DCF!$B$17-DCF!$B$18)</f>
        <v>1033951.8322301419</v>
      </c>
      <c r="D48" s="12">
        <f>K41*(1+DCF!$B$18)/(DCF!$B$17-DCF!$B$18)</f>
        <v>1265204.1092480151</v>
      </c>
    </row>
    <row r="49" spans="1:4" x14ac:dyDescent="0.2">
      <c r="A49" t="s">
        <v>98</v>
      </c>
      <c r="B49" s="12">
        <f>B48*K14</f>
        <v>347233.58659229067</v>
      </c>
      <c r="C49" s="12">
        <f>C48*K28</f>
        <v>457301.8152460666</v>
      </c>
      <c r="D49" s="12">
        <f>D48*K42</f>
        <v>559581.32456514379</v>
      </c>
    </row>
    <row r="50" spans="1:4" x14ac:dyDescent="0.2">
      <c r="A50" t="s">
        <v>99</v>
      </c>
      <c r="B50" s="12">
        <f>B47+B49</f>
        <v>410249.98287613597</v>
      </c>
      <c r="C50" s="12">
        <f>C47+C49</f>
        <v>548719.94167640433</v>
      </c>
      <c r="D50" s="12">
        <f>D47+D49</f>
        <v>679629.28017266165</v>
      </c>
    </row>
    <row r="51" spans="1:4" x14ac:dyDescent="0.2">
      <c r="A51" t="s">
        <v>103</v>
      </c>
      <c r="B51" s="12">
        <f>B50-'Balance Sheet'!D20-'Balance Sheet'!D24+'Balance Sheet'!D7+'Balance Sheet'!D8-'Balance Sheet'!D30</f>
        <v>307648.98287613597</v>
      </c>
      <c r="C51" s="12">
        <f>C50-'Balance Sheet'!D20-'Balance Sheet'!D24+'Balance Sheet'!D7+'Balance Sheet'!D8-'Balance Sheet'!D30</f>
        <v>446118.94167640433</v>
      </c>
      <c r="D51" s="12">
        <f>D50-'Balance Sheet'!D20-'Balance Sheet'!D24+'Balance Sheet'!D7+'Balance Sheet'!D8-'Balance Sheet'!D30</f>
        <v>577028.28017266165</v>
      </c>
    </row>
    <row r="52" spans="1:4" x14ac:dyDescent="0.2">
      <c r="A52" t="s">
        <v>12</v>
      </c>
      <c r="B52" s="8">
        <f>B51/'Income Statement'!D24</f>
        <v>105.5761780631901</v>
      </c>
      <c r="C52" s="8">
        <f>C51/'Income Statement'!D24</f>
        <v>153.09503832409209</v>
      </c>
      <c r="D52" s="8">
        <f>D51/'Income Statement'!D24</f>
        <v>198.01931371745422</v>
      </c>
    </row>
    <row r="53" spans="1:4" x14ac:dyDescent="0.2">
      <c r="A53" t="s">
        <v>6</v>
      </c>
      <c r="B53" s="11">
        <f>B52/DCF!$B$30-1</f>
        <v>-8.186644001052179E-2</v>
      </c>
      <c r="C53" s="11">
        <f>C52/DCF!$B$30-1</f>
        <v>0.33137697472903804</v>
      </c>
      <c r="D53" s="11">
        <f>D52/DCF!$B$30-1</f>
        <v>0.72205681987524328</v>
      </c>
    </row>
    <row r="54" spans="1:4" x14ac:dyDescent="0.2">
      <c r="A54" t="s">
        <v>15</v>
      </c>
      <c r="B54" s="11">
        <f>B49/B50</f>
        <v>0.8463951275706173</v>
      </c>
      <c r="C54" s="11">
        <f>C49/C50</f>
        <v>0.83339747749818505</v>
      </c>
      <c r="D54" s="11">
        <f>D49/D50</f>
        <v>0.82336259029772918</v>
      </c>
    </row>
  </sheetData>
  <mergeCells count="5">
    <mergeCell ref="A1:K1"/>
    <mergeCell ref="A3:K3"/>
    <mergeCell ref="A17:K17"/>
    <mergeCell ref="A31:K31"/>
    <mergeCell ref="A45:E45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1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6640625" defaultRowHeight="15" x14ac:dyDescent="0.2"/>
  <cols>
    <col min="1" max="1" width="42" customWidth="1"/>
    <col min="2" max="7" width="12" customWidth="1"/>
  </cols>
  <sheetData>
    <row r="1" spans="1:14" ht="15" customHeight="1" x14ac:dyDescent="0.2">
      <c r="A1" s="14" t="s">
        <v>121</v>
      </c>
    </row>
    <row r="2" spans="1:14" ht="15" customHeight="1" x14ac:dyDescent="0.2">
      <c r="A2" s="15" t="s">
        <v>122</v>
      </c>
    </row>
    <row r="3" spans="1:14" ht="15" customHeight="1" x14ac:dyDescent="0.2">
      <c r="B3" s="16" t="s">
        <v>31</v>
      </c>
      <c r="C3" s="16" t="s">
        <v>32</v>
      </c>
      <c r="D3" s="16" t="s">
        <v>33</v>
      </c>
      <c r="E3" s="16" t="s">
        <v>34</v>
      </c>
      <c r="F3" s="16" t="s">
        <v>35</v>
      </c>
      <c r="G3" s="16" t="s">
        <v>36</v>
      </c>
      <c r="H3" s="17" t="s">
        <v>37</v>
      </c>
      <c r="I3" s="17" t="s">
        <v>38</v>
      </c>
      <c r="J3" s="17" t="s">
        <v>39</v>
      </c>
      <c r="K3" s="17" t="s">
        <v>40</v>
      </c>
      <c r="L3" s="17" t="s">
        <v>41</v>
      </c>
      <c r="M3" s="17" t="s">
        <v>42</v>
      </c>
      <c r="N3" s="17" t="s">
        <v>43</v>
      </c>
    </row>
    <row r="5" spans="1:14" ht="15" customHeight="1" x14ac:dyDescent="0.2">
      <c r="A5" s="39" t="s">
        <v>123</v>
      </c>
      <c r="B5" s="23">
        <v>52961</v>
      </c>
      <c r="C5" s="23">
        <v>57399</v>
      </c>
      <c r="D5" s="23">
        <v>67357</v>
      </c>
      <c r="E5" s="40">
        <f>D5*(1+Assumptions!E5)</f>
        <v>85543.39</v>
      </c>
      <c r="F5" s="40">
        <f>E5*(1+Assumptions!F5)</f>
        <v>105218.3697</v>
      </c>
      <c r="G5" s="40">
        <f>F5*(1+Assumptions!G5)</f>
        <v>123526.36602779999</v>
      </c>
      <c r="H5" s="40">
        <f>G5*(1+Assumptions!H5)</f>
        <v>139831.8463434696</v>
      </c>
      <c r="I5" s="40">
        <f>H5*(1+Assumptions!I5)</f>
        <v>153815.03097781658</v>
      </c>
      <c r="J5" s="40">
        <f>I5*(1+Assumptions!J5)</f>
        <v>166581.67854897535</v>
      </c>
      <c r="K5" s="40">
        <f>J5*(1+Assumptions!K5)</f>
        <v>178075.81436885466</v>
      </c>
      <c r="L5" s="40">
        <f>K5*(1+Assumptions!L5)</f>
        <v>188760.36323098594</v>
      </c>
      <c r="M5" s="40">
        <f>L5*(1+Assumptions!M5)</f>
        <v>198764.66248222819</v>
      </c>
      <c r="N5" s="40">
        <f>M5*(1+Assumptions!N5)</f>
        <v>208702.89560633962</v>
      </c>
    </row>
    <row r="6" spans="1:14" ht="15" customHeight="1" x14ac:dyDescent="0.2">
      <c r="A6" s="19" t="s">
        <v>124</v>
      </c>
      <c r="B6" s="23">
        <v>15143</v>
      </c>
      <c r="C6" s="23">
        <v>16927</v>
      </c>
      <c r="D6" s="23">
        <v>23021</v>
      </c>
      <c r="E6" s="40">
        <f>E5*(1-Assumptions!E6)</f>
        <v>30367.903449999998</v>
      </c>
      <c r="F6" s="40">
        <f>F5*(1-Assumptions!F6)</f>
        <v>37668.1763526</v>
      </c>
      <c r="G6" s="40">
        <f>G5*(1-Assumptions!G6)</f>
        <v>44469.491770007997</v>
      </c>
      <c r="H6" s="40">
        <f>H5*(1-Assumptions!H6)</f>
        <v>50339.464683649057</v>
      </c>
      <c r="I6" s="40">
        <f>I5*(1-Assumptions!I6)</f>
        <v>55373.41115201397</v>
      </c>
      <c r="J6" s="40">
        <f>J5*(1-Assumptions!J6)</f>
        <v>59636.240920533171</v>
      </c>
      <c r="K6" s="40">
        <f>K5*(1-Assumptions!K6)</f>
        <v>63216.914100943402</v>
      </c>
      <c r="L6" s="40">
        <f>L5*(1-Assumptions!L6)</f>
        <v>66632.408220538025</v>
      </c>
      <c r="M6" s="40">
        <f>M5*(1-Assumptions!M6)</f>
        <v>69567.631868779863</v>
      </c>
      <c r="N6" s="40">
        <f>N5*(1-Assumptions!N6)</f>
        <v>72628.607671006175</v>
      </c>
    </row>
    <row r="7" spans="1:14" ht="15" customHeight="1" x14ac:dyDescent="0.2">
      <c r="A7" s="39" t="s">
        <v>125</v>
      </c>
      <c r="B7" s="41">
        <f t="shared" ref="B7:N7" si="0">B5-B6</f>
        <v>37818</v>
      </c>
      <c r="C7" s="41">
        <f t="shared" si="0"/>
        <v>40472</v>
      </c>
      <c r="D7" s="41">
        <f t="shared" si="0"/>
        <v>44336</v>
      </c>
      <c r="E7" s="41">
        <f t="shared" si="0"/>
        <v>55175.486550000001</v>
      </c>
      <c r="F7" s="41">
        <f t="shared" si="0"/>
        <v>67550.193347399996</v>
      </c>
      <c r="G7" s="41">
        <f t="shared" si="0"/>
        <v>79056.874257791991</v>
      </c>
      <c r="H7" s="42">
        <f t="shared" si="0"/>
        <v>89492.381659820545</v>
      </c>
      <c r="I7" s="42">
        <f t="shared" si="0"/>
        <v>98441.619825802612</v>
      </c>
      <c r="J7" s="42">
        <f t="shared" si="0"/>
        <v>106945.43762844219</v>
      </c>
      <c r="K7" s="42">
        <f t="shared" si="0"/>
        <v>114858.90026791126</v>
      </c>
      <c r="L7" s="42">
        <f t="shared" si="0"/>
        <v>122127.95501044791</v>
      </c>
      <c r="M7" s="42">
        <f t="shared" si="0"/>
        <v>129197.03061344833</v>
      </c>
      <c r="N7" s="42">
        <f t="shared" si="0"/>
        <v>136074.28793533344</v>
      </c>
    </row>
    <row r="9" spans="1:14" ht="15" customHeight="1" x14ac:dyDescent="0.2">
      <c r="A9" s="19" t="s">
        <v>126</v>
      </c>
      <c r="B9" s="23">
        <v>9822</v>
      </c>
      <c r="C9" s="23">
        <v>10253</v>
      </c>
      <c r="D9" s="23">
        <v>9949</v>
      </c>
      <c r="E9" s="40">
        <f>E5*Assumptions!E7</f>
        <v>12660.421719999998</v>
      </c>
      <c r="F9" s="40">
        <f>F5*Assumptions!F7</f>
        <v>15361.881976199998</v>
      </c>
      <c r="G9" s="40">
        <f>G5*Assumptions!G7</f>
        <v>17787.796708003196</v>
      </c>
      <c r="H9" s="40">
        <f>H5*Assumptions!H7</f>
        <v>19856.122180772683</v>
      </c>
      <c r="I9" s="40">
        <f>I5*Assumptions!I7</f>
        <v>21534.104336894325</v>
      </c>
      <c r="J9" s="40">
        <f>J5*Assumptions!J7</f>
        <v>23321.434996856551</v>
      </c>
      <c r="K9" s="40">
        <f>K5*Assumptions!K7</f>
        <v>24930.614011639653</v>
      </c>
      <c r="L9" s="40">
        <f>L5*Assumptions!L7</f>
        <v>26426.450852338035</v>
      </c>
      <c r="M9" s="40">
        <f>M5*Assumptions!M7</f>
        <v>27827.052747511949</v>
      </c>
      <c r="N9" s="40">
        <f>N5*Assumptions!N7</f>
        <v>29218.405384887548</v>
      </c>
    </row>
    <row r="10" spans="1:14" ht="15" customHeight="1" x14ac:dyDescent="0.2">
      <c r="A10" s="19" t="s">
        <v>127</v>
      </c>
      <c r="B10" s="23">
        <v>8915</v>
      </c>
      <c r="C10" s="23">
        <v>9860</v>
      </c>
      <c r="D10" s="23">
        <v>10272</v>
      </c>
      <c r="E10" s="40">
        <f>E5*Assumptions!E8</f>
        <v>13002.59528</v>
      </c>
      <c r="F10" s="40">
        <f>F5*Assumptions!F8</f>
        <v>15993.192194399999</v>
      </c>
      <c r="G10" s="40">
        <f>G5*Assumptions!G8</f>
        <v>18776.007636225597</v>
      </c>
      <c r="H10" s="40">
        <f>H5*Assumptions!H8</f>
        <v>21254.440644207378</v>
      </c>
      <c r="I10" s="40">
        <f>I5*Assumptions!I8</f>
        <v>23379.88470862812</v>
      </c>
      <c r="J10" s="40">
        <f>J5*Assumptions!J8</f>
        <v>25320.415139444252</v>
      </c>
      <c r="K10" s="40">
        <f>K5*Assumptions!K8</f>
        <v>27067.523784065907</v>
      </c>
      <c r="L10" s="40">
        <f>L5*Assumptions!L8</f>
        <v>28691.575211109863</v>
      </c>
      <c r="M10" s="40">
        <f>M5*Assumptions!M8</f>
        <v>30212.228697298684</v>
      </c>
      <c r="N10" s="40">
        <f>N5*Assumptions!N8</f>
        <v>31722.840132163623</v>
      </c>
    </row>
    <row r="11" spans="1:14" ht="15" customHeight="1" x14ac:dyDescent="0.2">
      <c r="A11" s="19" t="s">
        <v>128</v>
      </c>
      <c r="B11" s="23">
        <v>3728</v>
      </c>
      <c r="C11" s="23">
        <v>2681</v>
      </c>
      <c r="D11" s="23">
        <v>3509</v>
      </c>
      <c r="E11" s="40">
        <f>E5*Assumptions!E9</f>
        <v>3849.45255</v>
      </c>
      <c r="F11" s="40">
        <f>F5*Assumptions!F9</f>
        <v>4419.1715273999998</v>
      </c>
      <c r="G11" s="40">
        <f>G5*Assumptions!G9</f>
        <v>4941.0546411119994</v>
      </c>
      <c r="H11" s="40">
        <f>H5*Assumptions!H9</f>
        <v>5313.6101610518444</v>
      </c>
      <c r="I11" s="40">
        <f>I5*Assumptions!I9</f>
        <v>5537.3411152013969</v>
      </c>
      <c r="J11" s="40">
        <f>J5*Assumptions!J9</f>
        <v>5830.3587492141378</v>
      </c>
      <c r="K11" s="40">
        <f>K5*Assumptions!K9</f>
        <v>6232.6535029099132</v>
      </c>
      <c r="L11" s="40">
        <f>L5*Assumptions!L9</f>
        <v>6606.6127130845089</v>
      </c>
      <c r="M11" s="40">
        <f>M5*Assumptions!M9</f>
        <v>6956.7631868779872</v>
      </c>
      <c r="N11" s="40">
        <f>N5*Assumptions!N9</f>
        <v>7304.6013462218871</v>
      </c>
    </row>
    <row r="12" spans="1:14" ht="15" customHeight="1" x14ac:dyDescent="0.2">
      <c r="A12" s="19" t="s">
        <v>129</v>
      </c>
      <c r="B12" s="43">
        <f t="shared" ref="B12:N12" si="1">SUM(B9:B11)</f>
        <v>22465</v>
      </c>
      <c r="C12" s="43">
        <f t="shared" si="1"/>
        <v>22794</v>
      </c>
      <c r="D12" s="43">
        <f t="shared" si="1"/>
        <v>23730</v>
      </c>
      <c r="E12" s="43">
        <f t="shared" si="1"/>
        <v>29512.469550000002</v>
      </c>
      <c r="F12" s="43">
        <f t="shared" si="1"/>
        <v>35774.245697999999</v>
      </c>
      <c r="G12" s="43">
        <f t="shared" si="1"/>
        <v>41504.85898534079</v>
      </c>
      <c r="H12" s="44">
        <f t="shared" si="1"/>
        <v>46424.17298603191</v>
      </c>
      <c r="I12" s="44">
        <f t="shared" si="1"/>
        <v>50451.330160723839</v>
      </c>
      <c r="J12" s="44">
        <f t="shared" si="1"/>
        <v>54472.208885514941</v>
      </c>
      <c r="K12" s="44">
        <f t="shared" si="1"/>
        <v>58230.79129861547</v>
      </c>
      <c r="L12" s="44">
        <f t="shared" si="1"/>
        <v>61724.638776532403</v>
      </c>
      <c r="M12" s="44">
        <f t="shared" si="1"/>
        <v>64996.044631688623</v>
      </c>
      <c r="N12" s="44">
        <f t="shared" si="1"/>
        <v>68245.846863273051</v>
      </c>
    </row>
    <row r="13" spans="1:14" ht="15" customHeight="1" x14ac:dyDescent="0.2">
      <c r="A13" s="39" t="s">
        <v>111</v>
      </c>
      <c r="B13" s="42">
        <f t="shared" ref="B13:N13" si="2">B7-B12</f>
        <v>15353</v>
      </c>
      <c r="C13" s="42">
        <f t="shared" si="2"/>
        <v>17678</v>
      </c>
      <c r="D13" s="42">
        <f t="shared" si="2"/>
        <v>20606</v>
      </c>
      <c r="E13" s="42">
        <f t="shared" si="2"/>
        <v>25663.017</v>
      </c>
      <c r="F13" s="42">
        <f t="shared" si="2"/>
        <v>31775.947649399997</v>
      </c>
      <c r="G13" s="42">
        <f t="shared" si="2"/>
        <v>37552.015272451201</v>
      </c>
      <c r="H13" s="42">
        <f t="shared" si="2"/>
        <v>43068.208673788635</v>
      </c>
      <c r="I13" s="42">
        <f t="shared" si="2"/>
        <v>47990.289665078773</v>
      </c>
      <c r="J13" s="42">
        <f t="shared" si="2"/>
        <v>52473.228742927247</v>
      </c>
      <c r="K13" s="42">
        <f t="shared" si="2"/>
        <v>56628.10896929579</v>
      </c>
      <c r="L13" s="42">
        <f t="shared" si="2"/>
        <v>60403.31623391551</v>
      </c>
      <c r="M13" s="42">
        <f t="shared" si="2"/>
        <v>64200.985981759703</v>
      </c>
      <c r="N13" s="42">
        <f t="shared" si="2"/>
        <v>67828.441072060392</v>
      </c>
    </row>
    <row r="15" spans="1:14" ht="15" customHeight="1" x14ac:dyDescent="0.2">
      <c r="A15" s="19" t="s">
        <v>130</v>
      </c>
      <c r="B15" s="23">
        <v>-3514</v>
      </c>
      <c r="C15" s="23">
        <v>-3578</v>
      </c>
      <c r="D15" s="23">
        <v>-4599</v>
      </c>
      <c r="E15" s="40">
        <f>-Assumptions!E12*('Balance Sheet'!D20+'Balance Sheet'!D24+'Balance Sheet'!D25)</f>
        <v>-7028.5050000000001</v>
      </c>
      <c r="F15" s="40">
        <f>-Assumptions!F12*('Balance Sheet'!E20+'Balance Sheet'!E24+'Balance Sheet'!E25)</f>
        <v>-8693.3790000000008</v>
      </c>
      <c r="G15" s="40">
        <f>-Assumptions!G12*('Balance Sheet'!F20+'Balance Sheet'!F24+'Balance Sheet'!F25)</f>
        <v>-9596.2824000000001</v>
      </c>
      <c r="H15" s="40">
        <f>-Assumptions!H12*('Balance Sheet'!G20+'Balance Sheet'!G24+'Balance Sheet'!G25)</f>
        <v>-9942.1292699999995</v>
      </c>
      <c r="I15" s="40">
        <f>-Assumptions!I12*('Balance Sheet'!H20+'Balance Sheet'!H24+'Balance Sheet'!H25)</f>
        <v>-10156.7684835</v>
      </c>
      <c r="J15" s="40">
        <f>-Assumptions!J12*('Balance Sheet'!I20+'Balance Sheet'!I24+'Balance Sheet'!I25)</f>
        <v>-9540.370517087129</v>
      </c>
      <c r="K15" s="40">
        <f>-Assumptions!K12*('Balance Sheet'!J20+'Balance Sheet'!J24+'Balance Sheet'!J25)</f>
        <v>-8313.1658771380298</v>
      </c>
      <c r="L15" s="40">
        <f>-Assumptions!L12*('Balance Sheet'!K20+'Balance Sheet'!K24+'Balance Sheet'!K25)</f>
        <v>-6798.812816260961</v>
      </c>
      <c r="M15" s="40">
        <f>-Assumptions!M12*('Balance Sheet'!L20+'Balance Sheet'!L24+'Balance Sheet'!L25)</f>
        <v>-5056.6151672787573</v>
      </c>
      <c r="N15" s="40">
        <f>-Assumptions!N12*('Balance Sheet'!M20+'Balance Sheet'!M24+'Balance Sheet'!M25)</f>
        <v>-3130.3110592711746</v>
      </c>
    </row>
    <row r="16" spans="1:14" ht="15" customHeight="1" x14ac:dyDescent="0.2">
      <c r="A16" s="19" t="s">
        <v>131</v>
      </c>
      <c r="B16" s="23">
        <v>-98</v>
      </c>
      <c r="C16" s="23">
        <v>60</v>
      </c>
      <c r="D16" s="23">
        <v>3547</v>
      </c>
      <c r="E16" s="40">
        <f>Assumptions!E13*'Balance Sheet'!D7</f>
        <v>1095.115</v>
      </c>
      <c r="F16" s="40">
        <f>Assumptions!F13*'Balance Sheet'!E7</f>
        <v>692.61290237760329</v>
      </c>
      <c r="G16" s="40">
        <f>Assumptions!G13*'Balance Sheet'!F7</f>
        <v>169.79601923477131</v>
      </c>
      <c r="H16" s="40">
        <f>Assumptions!H13*'Balance Sheet'!G7</f>
        <v>22.885056729420743</v>
      </c>
      <c r="I16" s="40">
        <f>Assumptions!I13*'Balance Sheet'!H7</f>
        <v>388.26206166519114</v>
      </c>
      <c r="J16" s="40">
        <f>Assumptions!J13*'Balance Sheet'!I7</f>
        <v>525.00000000000023</v>
      </c>
      <c r="K16" s="40">
        <f>Assumptions!K13*'Balance Sheet'!J7</f>
        <v>525.00000000000023</v>
      </c>
      <c r="L16" s="40">
        <f>Assumptions!L13*'Balance Sheet'!K7</f>
        <v>525.00000000000023</v>
      </c>
      <c r="M16" s="40">
        <f>Assumptions!M13*'Balance Sheet'!L7</f>
        <v>525.00000000000023</v>
      </c>
      <c r="N16" s="40">
        <f>Assumptions!N13*'Balance Sheet'!M7</f>
        <v>525.00000000000023</v>
      </c>
    </row>
    <row r="17" spans="1:14" ht="15" customHeight="1" x14ac:dyDescent="0.2">
      <c r="A17" s="19" t="s">
        <v>132</v>
      </c>
      <c r="B17" s="43">
        <f t="shared" ref="B17:N17" si="3">B13+B15+B16</f>
        <v>11741</v>
      </c>
      <c r="C17" s="43">
        <f t="shared" si="3"/>
        <v>14160</v>
      </c>
      <c r="D17" s="43">
        <f t="shared" si="3"/>
        <v>19554</v>
      </c>
      <c r="E17" s="43">
        <f t="shared" si="3"/>
        <v>19729.627</v>
      </c>
      <c r="F17" s="43">
        <f t="shared" si="3"/>
        <v>23775.181551777601</v>
      </c>
      <c r="G17" s="43">
        <f t="shared" si="3"/>
        <v>28125.528891685972</v>
      </c>
      <c r="H17" s="44">
        <f t="shared" si="3"/>
        <v>33148.964460518058</v>
      </c>
      <c r="I17" s="44">
        <f t="shared" si="3"/>
        <v>38221.783243243968</v>
      </c>
      <c r="J17" s="44">
        <f t="shared" si="3"/>
        <v>43457.858225840115</v>
      </c>
      <c r="K17" s="44">
        <f t="shared" si="3"/>
        <v>48839.943092157759</v>
      </c>
      <c r="L17" s="44">
        <f t="shared" si="3"/>
        <v>54129.503417654545</v>
      </c>
      <c r="M17" s="44">
        <f t="shared" si="3"/>
        <v>59669.370814480942</v>
      </c>
      <c r="N17" s="44">
        <f t="shared" si="3"/>
        <v>65223.130012789217</v>
      </c>
    </row>
    <row r="18" spans="1:14" ht="15" customHeight="1" x14ac:dyDescent="0.2">
      <c r="A18" s="19" t="s">
        <v>133</v>
      </c>
      <c r="B18" s="23">
        <v>1274</v>
      </c>
      <c r="C18" s="23">
        <v>1717</v>
      </c>
      <c r="D18" s="23">
        <v>2467</v>
      </c>
      <c r="E18" s="40">
        <f>E17*Assumptions!E14</f>
        <v>3354.0365900000002</v>
      </c>
      <c r="F18" s="40">
        <f>F17*Assumptions!F14</f>
        <v>4041.7808638021925</v>
      </c>
      <c r="G18" s="40">
        <f>G17*Assumptions!G14</f>
        <v>4781.3399115866159</v>
      </c>
      <c r="H18" s="40">
        <f>H17*Assumptions!H14</f>
        <v>5635.3239582880706</v>
      </c>
      <c r="I18" s="40">
        <f>I17*Assumptions!I14</f>
        <v>6497.7031513514748</v>
      </c>
      <c r="J18" s="40">
        <f>J17*Assumptions!J14</f>
        <v>7387.8358983928201</v>
      </c>
      <c r="K18" s="40">
        <f>K17*Assumptions!K14</f>
        <v>8302.7903256668196</v>
      </c>
      <c r="L18" s="40">
        <f>L17*Assumptions!L14</f>
        <v>9202.0155810012729</v>
      </c>
      <c r="M18" s="40">
        <f>M17*Assumptions!M14</f>
        <v>10143.793038461761</v>
      </c>
      <c r="N18" s="40">
        <f>N17*Assumptions!N14</f>
        <v>11087.932102174167</v>
      </c>
    </row>
    <row r="19" spans="1:14" ht="15" customHeight="1" x14ac:dyDescent="0.2">
      <c r="A19" s="39" t="s">
        <v>134</v>
      </c>
      <c r="B19" s="41">
        <f t="shared" ref="B19:N19" si="4">B17-B18</f>
        <v>10467</v>
      </c>
      <c r="C19" s="41">
        <f t="shared" si="4"/>
        <v>12443</v>
      </c>
      <c r="D19" s="41">
        <f t="shared" si="4"/>
        <v>17087</v>
      </c>
      <c r="E19" s="41">
        <f t="shared" si="4"/>
        <v>16375.590410000001</v>
      </c>
      <c r="F19" s="41">
        <f t="shared" si="4"/>
        <v>19733.400687975409</v>
      </c>
      <c r="G19" s="41">
        <f t="shared" si="4"/>
        <v>23344.188980099356</v>
      </c>
      <c r="H19" s="42">
        <f t="shared" si="4"/>
        <v>27513.640502229988</v>
      </c>
      <c r="I19" s="42">
        <f t="shared" si="4"/>
        <v>31724.080091892494</v>
      </c>
      <c r="J19" s="42">
        <f t="shared" si="4"/>
        <v>36070.022327447296</v>
      </c>
      <c r="K19" s="42">
        <f t="shared" si="4"/>
        <v>40537.152766490937</v>
      </c>
      <c r="L19" s="42">
        <f t="shared" si="4"/>
        <v>44927.487836653272</v>
      </c>
      <c r="M19" s="42">
        <f t="shared" si="4"/>
        <v>49525.577776019185</v>
      </c>
      <c r="N19" s="42">
        <f t="shared" si="4"/>
        <v>54135.197910615054</v>
      </c>
    </row>
    <row r="20" spans="1:14" ht="15" customHeight="1" x14ac:dyDescent="0.2">
      <c r="A20" s="19" t="s">
        <v>135</v>
      </c>
      <c r="B20" s="23">
        <v>0</v>
      </c>
      <c r="C20" s="23">
        <v>0</v>
      </c>
      <c r="D20" s="23">
        <v>103</v>
      </c>
      <c r="E20" s="40">
        <f>Assumptions!E29</f>
        <v>300</v>
      </c>
      <c r="F20" s="40">
        <f>Assumptions!F29</f>
        <v>300</v>
      </c>
      <c r="G20" s="40">
        <f>Assumptions!G29</f>
        <v>300</v>
      </c>
      <c r="H20" s="40">
        <f>Assumptions!H29</f>
        <v>300</v>
      </c>
      <c r="I20" s="40">
        <f>Assumptions!I29</f>
        <v>300</v>
      </c>
      <c r="J20" s="40">
        <f>Assumptions!J29</f>
        <v>300</v>
      </c>
      <c r="K20" s="40">
        <f>Assumptions!K29</f>
        <v>300</v>
      </c>
      <c r="L20" s="40">
        <f>Assumptions!L29</f>
        <v>300</v>
      </c>
      <c r="M20" s="40">
        <f>Assumptions!M29</f>
        <v>300</v>
      </c>
      <c r="N20" s="40">
        <f>Assumptions!N29</f>
        <v>300</v>
      </c>
    </row>
    <row r="21" spans="1:14" ht="15" customHeight="1" x14ac:dyDescent="0.2">
      <c r="A21" s="39" t="s">
        <v>136</v>
      </c>
      <c r="B21" s="42">
        <f t="shared" ref="B21:N21" si="5">B19-B20</f>
        <v>10467</v>
      </c>
      <c r="C21" s="42">
        <f t="shared" si="5"/>
        <v>12443</v>
      </c>
      <c r="D21" s="42">
        <f t="shared" si="5"/>
        <v>16984</v>
      </c>
      <c r="E21" s="42">
        <f t="shared" si="5"/>
        <v>16075.590410000001</v>
      </c>
      <c r="F21" s="42">
        <f t="shared" si="5"/>
        <v>19433.400687975409</v>
      </c>
      <c r="G21" s="42">
        <f t="shared" si="5"/>
        <v>23044.188980099356</v>
      </c>
      <c r="H21" s="42">
        <f t="shared" si="5"/>
        <v>27213.640502229988</v>
      </c>
      <c r="I21" s="42">
        <f t="shared" si="5"/>
        <v>31424.080091892494</v>
      </c>
      <c r="J21" s="42">
        <f t="shared" si="5"/>
        <v>35770.022327447296</v>
      </c>
      <c r="K21" s="42">
        <f t="shared" si="5"/>
        <v>40237.152766490937</v>
      </c>
      <c r="L21" s="42">
        <f t="shared" si="5"/>
        <v>44627.487836653272</v>
      </c>
      <c r="M21" s="42">
        <f t="shared" si="5"/>
        <v>49225.577776019185</v>
      </c>
      <c r="N21" s="42">
        <f t="shared" si="5"/>
        <v>53835.197910615054</v>
      </c>
    </row>
    <row r="23" spans="1:14" ht="15" customHeight="1" x14ac:dyDescent="0.2">
      <c r="A23" s="19" t="s">
        <v>137</v>
      </c>
      <c r="B23" s="23">
        <v>2744</v>
      </c>
      <c r="C23" s="23">
        <v>2789</v>
      </c>
      <c r="D23" s="23">
        <v>2860</v>
      </c>
      <c r="E23" s="40">
        <f>D23*(1+Assumptions!E32)</f>
        <v>2902.8999999999996</v>
      </c>
      <c r="F23" s="40">
        <f>E23*(1+Assumptions!F32)</f>
        <v>2937.7347999999997</v>
      </c>
      <c r="G23" s="40">
        <f>F23*(1+Assumptions!G32)</f>
        <v>2967.1121479999997</v>
      </c>
      <c r="H23" s="40">
        <f>G23*(1+Assumptions!H32)</f>
        <v>2990.8490451839998</v>
      </c>
      <c r="I23" s="40">
        <f>H23*(1+Assumptions!I32)</f>
        <v>3008.794139455104</v>
      </c>
      <c r="J23" s="40">
        <f>I23*(1+Assumptions!J32)</f>
        <v>3023.8381101523792</v>
      </c>
      <c r="K23" s="40">
        <f>J23*(1+Assumptions!K32)</f>
        <v>3038.9573007031408</v>
      </c>
      <c r="L23" s="40">
        <f>K23*(1+Assumptions!L32)</f>
        <v>3054.1520872066562</v>
      </c>
      <c r="M23" s="40">
        <f>L23*(1+Assumptions!M32)</f>
        <v>3069.4228476426892</v>
      </c>
      <c r="N23" s="40">
        <f>M23*(1+Assumptions!N32)</f>
        <v>3084.7699618809024</v>
      </c>
    </row>
    <row r="24" spans="1:14" ht="15" customHeight="1" x14ac:dyDescent="0.2">
      <c r="A24" s="19" t="s">
        <v>138</v>
      </c>
      <c r="B24" s="23">
        <v>2823</v>
      </c>
      <c r="C24" s="23">
        <v>2866</v>
      </c>
      <c r="D24" s="23">
        <v>2914</v>
      </c>
      <c r="E24" s="40">
        <f>E23+Assumptions!E33</f>
        <v>2956.8999999999996</v>
      </c>
      <c r="F24" s="40">
        <f>F23+Assumptions!F33</f>
        <v>2991.7347999999997</v>
      </c>
      <c r="G24" s="40">
        <f>G23+Assumptions!G33</f>
        <v>3021.1121479999997</v>
      </c>
      <c r="H24" s="40">
        <f>H23+Assumptions!H33</f>
        <v>3044.8490451839998</v>
      </c>
      <c r="I24" s="40">
        <f>I23+Assumptions!I33</f>
        <v>3062.794139455104</v>
      </c>
      <c r="J24" s="40">
        <f>J23+Assumptions!J33</f>
        <v>3077.8381101523792</v>
      </c>
      <c r="K24" s="40">
        <f>K23+Assumptions!K33</f>
        <v>3092.9573007031408</v>
      </c>
      <c r="L24" s="40">
        <f>L23+Assumptions!L33</f>
        <v>3108.1520872066562</v>
      </c>
      <c r="M24" s="40">
        <f>M23+Assumptions!M33</f>
        <v>3123.4228476426892</v>
      </c>
      <c r="N24" s="40">
        <f>N23+Assumptions!N33</f>
        <v>3138.7699618809024</v>
      </c>
    </row>
    <row r="25" spans="1:14" ht="15" customHeight="1" x14ac:dyDescent="0.2">
      <c r="A25" s="19" t="s">
        <v>139</v>
      </c>
      <c r="B25" s="45">
        <f t="shared" ref="B25:N25" si="6">B21/B23</f>
        <v>3.8145043731778427</v>
      </c>
      <c r="C25" s="45">
        <f t="shared" si="6"/>
        <v>4.4614557188956612</v>
      </c>
      <c r="D25" s="45">
        <f t="shared" si="6"/>
        <v>5.9384615384615387</v>
      </c>
      <c r="E25" s="45">
        <f t="shared" si="6"/>
        <v>5.5377692686623732</v>
      </c>
      <c r="F25" s="45">
        <f t="shared" si="6"/>
        <v>6.6150970087481724</v>
      </c>
      <c r="G25" s="45">
        <f t="shared" si="6"/>
        <v>7.7665379098098581</v>
      </c>
      <c r="H25" s="45">
        <f t="shared" si="6"/>
        <v>9.0989682498522022</v>
      </c>
      <c r="I25" s="45">
        <f t="shared" si="6"/>
        <v>10.444077805064932</v>
      </c>
      <c r="J25" s="45">
        <f t="shared" si="6"/>
        <v>11.829344371099532</v>
      </c>
      <c r="K25" s="45">
        <f t="shared" si="6"/>
        <v>13.240446898408555</v>
      </c>
      <c r="L25" s="45">
        <f t="shared" si="6"/>
        <v>14.612071227097866</v>
      </c>
      <c r="M25" s="45">
        <f t="shared" si="6"/>
        <v>16.037405147298077</v>
      </c>
      <c r="N25" s="45">
        <f t="shared" si="6"/>
        <v>17.451932745672117</v>
      </c>
    </row>
    <row r="26" spans="1:14" ht="15" customHeight="1" x14ac:dyDescent="0.2">
      <c r="A26" s="19" t="s">
        <v>140</v>
      </c>
      <c r="B26" s="45">
        <f t="shared" ref="B26:N26" si="7">B21/B24</f>
        <v>3.7077577045696066</v>
      </c>
      <c r="C26" s="45">
        <f t="shared" si="7"/>
        <v>4.3415910676901603</v>
      </c>
      <c r="D26" s="45">
        <f t="shared" si="7"/>
        <v>5.828414550446122</v>
      </c>
      <c r="E26" s="45">
        <f t="shared" si="7"/>
        <v>5.4366364807737844</v>
      </c>
      <c r="F26" s="45">
        <f t="shared" si="7"/>
        <v>6.4956963056937438</v>
      </c>
      <c r="G26" s="45">
        <f t="shared" si="7"/>
        <v>7.6277171621565891</v>
      </c>
      <c r="H26" s="45">
        <f t="shared" si="7"/>
        <v>8.9375992367416259</v>
      </c>
      <c r="I26" s="45">
        <f t="shared" si="7"/>
        <v>10.259938690323828</v>
      </c>
      <c r="J26" s="45">
        <f t="shared" si="7"/>
        <v>11.621801097809</v>
      </c>
      <c r="K26" s="45">
        <f t="shared" si="7"/>
        <v>13.009281685635809</v>
      </c>
      <c r="L26" s="45">
        <f t="shared" si="7"/>
        <v>14.35820596435507</v>
      </c>
      <c r="M26" s="45">
        <f t="shared" si="7"/>
        <v>15.760138853172164</v>
      </c>
      <c r="N26" s="45">
        <f t="shared" si="7"/>
        <v>17.151686349882873</v>
      </c>
    </row>
    <row r="28" spans="1:14" ht="15" customHeight="1" x14ac:dyDescent="0.2">
      <c r="A28" s="19" t="s">
        <v>45</v>
      </c>
      <c r="E28" s="46">
        <f t="shared" ref="E28:N28" si="8">E5/D5-1</f>
        <v>0.27</v>
      </c>
      <c r="F28" s="46">
        <f t="shared" si="8"/>
        <v>0.22999999999999998</v>
      </c>
      <c r="G28" s="46">
        <f t="shared" si="8"/>
        <v>0.17399999999999993</v>
      </c>
      <c r="H28" s="46">
        <f t="shared" si="8"/>
        <v>0.13200000000000012</v>
      </c>
      <c r="I28" s="46">
        <f t="shared" si="8"/>
        <v>0.10000000000000009</v>
      </c>
      <c r="J28" s="46">
        <f t="shared" si="8"/>
        <v>8.2999999999999963E-2</v>
      </c>
      <c r="K28" s="46">
        <f t="shared" si="8"/>
        <v>6.899999999999995E-2</v>
      </c>
      <c r="L28" s="46">
        <f t="shared" si="8"/>
        <v>6.0000000000000053E-2</v>
      </c>
      <c r="M28" s="46">
        <f t="shared" si="8"/>
        <v>5.2999999999999936E-2</v>
      </c>
      <c r="N28" s="46">
        <f t="shared" si="8"/>
        <v>5.0000000000000044E-2</v>
      </c>
    </row>
    <row r="29" spans="1:14" ht="15" customHeight="1" x14ac:dyDescent="0.2">
      <c r="A29" s="19" t="s">
        <v>46</v>
      </c>
      <c r="B29" s="46">
        <f t="shared" ref="B29:N29" si="9">B7/B5</f>
        <v>0.71407261947470779</v>
      </c>
      <c r="C29" s="46">
        <f t="shared" si="9"/>
        <v>0.70509939197547</v>
      </c>
      <c r="D29" s="46">
        <f t="shared" si="9"/>
        <v>0.65822408955268197</v>
      </c>
      <c r="E29" s="46">
        <f t="shared" si="9"/>
        <v>0.64500000000000002</v>
      </c>
      <c r="F29" s="46">
        <f t="shared" si="9"/>
        <v>0.64200000000000002</v>
      </c>
      <c r="G29" s="46">
        <f t="shared" si="9"/>
        <v>0.64</v>
      </c>
      <c r="H29" s="46">
        <f t="shared" si="9"/>
        <v>0.64</v>
      </c>
      <c r="I29" s="46">
        <f t="shared" si="9"/>
        <v>0.64</v>
      </c>
      <c r="J29" s="46">
        <f t="shared" si="9"/>
        <v>0.64200000000000013</v>
      </c>
      <c r="K29" s="46">
        <f t="shared" si="9"/>
        <v>0.64500000000000002</v>
      </c>
      <c r="L29" s="46">
        <f t="shared" si="9"/>
        <v>0.64700000000000002</v>
      </c>
      <c r="M29" s="46">
        <f t="shared" si="9"/>
        <v>0.65</v>
      </c>
      <c r="N29" s="46">
        <f t="shared" si="9"/>
        <v>0.65200000000000002</v>
      </c>
    </row>
    <row r="30" spans="1:14" ht="15" customHeight="1" x14ac:dyDescent="0.2">
      <c r="A30" s="19" t="s">
        <v>141</v>
      </c>
      <c r="B30" s="46">
        <f t="shared" ref="B30:N30" si="10">B13/B5</f>
        <v>0.28989256245161532</v>
      </c>
      <c r="C30" s="46">
        <f t="shared" si="10"/>
        <v>0.30798445965957594</v>
      </c>
      <c r="D30" s="46">
        <f t="shared" si="10"/>
        <v>0.30592217586887777</v>
      </c>
      <c r="E30" s="46">
        <f t="shared" si="10"/>
        <v>0.3</v>
      </c>
      <c r="F30" s="46">
        <f t="shared" si="10"/>
        <v>0.30199999999999999</v>
      </c>
      <c r="G30" s="46">
        <f t="shared" si="10"/>
        <v>0.30400000000000005</v>
      </c>
      <c r="H30" s="46">
        <f t="shared" si="10"/>
        <v>0.308</v>
      </c>
      <c r="I30" s="46">
        <f t="shared" si="10"/>
        <v>0.312</v>
      </c>
      <c r="J30" s="46">
        <f t="shared" si="10"/>
        <v>0.31500000000000006</v>
      </c>
      <c r="K30" s="46">
        <f t="shared" si="10"/>
        <v>0.31800000000000006</v>
      </c>
      <c r="L30" s="46">
        <f t="shared" si="10"/>
        <v>0.32000000000000006</v>
      </c>
      <c r="M30" s="46">
        <f t="shared" si="10"/>
        <v>0.32300000000000001</v>
      </c>
      <c r="N30" s="46">
        <f t="shared" si="10"/>
        <v>0.32500000000000007</v>
      </c>
    </row>
    <row r="31" spans="1:14" ht="15" customHeight="1" x14ac:dyDescent="0.2">
      <c r="A31" s="19" t="s">
        <v>142</v>
      </c>
      <c r="B31" s="46">
        <f t="shared" ref="B31:N31" si="11">B19/B5</f>
        <v>0.19763599629916354</v>
      </c>
      <c r="C31" s="46">
        <f t="shared" si="11"/>
        <v>0.21678078015296434</v>
      </c>
      <c r="D31" s="46">
        <f t="shared" si="11"/>
        <v>0.25367816262600767</v>
      </c>
      <c r="E31" s="46">
        <f t="shared" si="11"/>
        <v>0.19143022517578506</v>
      </c>
      <c r="F31" s="46">
        <f t="shared" si="11"/>
        <v>0.18754710555048079</v>
      </c>
      <c r="G31" s="46">
        <f t="shared" si="11"/>
        <v>0.1889814274536796</v>
      </c>
      <c r="H31" s="46">
        <f t="shared" si="11"/>
        <v>0.1967623343444104</v>
      </c>
      <c r="I31" s="46">
        <f t="shared" si="11"/>
        <v>0.20624824433749772</v>
      </c>
      <c r="J31" s="46">
        <f t="shared" si="11"/>
        <v>0.21653054910743161</v>
      </c>
      <c r="K31" s="46">
        <f t="shared" si="11"/>
        <v>0.22763985614871268</v>
      </c>
      <c r="L31" s="46">
        <f t="shared" si="11"/>
        <v>0.23801335761192371</v>
      </c>
      <c r="M31" s="46">
        <f t="shared" si="11"/>
        <v>0.2491669150719753</v>
      </c>
      <c r="N31" s="46">
        <f t="shared" si="11"/>
        <v>0.25938882042502254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0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6640625" defaultRowHeight="15" x14ac:dyDescent="0.2"/>
  <cols>
    <col min="1" max="1" width="42" customWidth="1"/>
    <col min="2" max="7" width="12" customWidth="1"/>
  </cols>
  <sheetData>
    <row r="1" spans="1:14" ht="15" customHeight="1" x14ac:dyDescent="0.2">
      <c r="A1" s="14" t="s">
        <v>143</v>
      </c>
    </row>
    <row r="2" spans="1:14" ht="15" customHeight="1" x14ac:dyDescent="0.2">
      <c r="A2" s="15" t="s">
        <v>144</v>
      </c>
    </row>
    <row r="3" spans="1:14" ht="15" customHeight="1" x14ac:dyDescent="0.2">
      <c r="B3" s="16" t="s">
        <v>31</v>
      </c>
      <c r="C3" s="16" t="s">
        <v>32</v>
      </c>
      <c r="D3" s="16" t="s">
        <v>33</v>
      </c>
      <c r="E3" s="16" t="s">
        <v>34</v>
      </c>
      <c r="F3" s="16" t="s">
        <v>35</v>
      </c>
      <c r="G3" s="16" t="s">
        <v>36</v>
      </c>
      <c r="H3" s="17" t="s">
        <v>37</v>
      </c>
      <c r="I3" s="17" t="s">
        <v>38</v>
      </c>
      <c r="J3" s="17" t="s">
        <v>39</v>
      </c>
      <c r="K3" s="17" t="s">
        <v>40</v>
      </c>
      <c r="L3" s="17" t="s">
        <v>41</v>
      </c>
      <c r="M3" s="17" t="s">
        <v>42</v>
      </c>
      <c r="N3" s="17" t="s">
        <v>43</v>
      </c>
    </row>
    <row r="5" spans="1:14" ht="15" customHeight="1" x14ac:dyDescent="0.2">
      <c r="A5" s="18" t="s">
        <v>145</v>
      </c>
    </row>
    <row r="7" spans="1:14" ht="15" customHeight="1" x14ac:dyDescent="0.2">
      <c r="A7" s="19" t="s">
        <v>146</v>
      </c>
      <c r="B7" s="23">
        <v>10454</v>
      </c>
      <c r="C7" s="23">
        <v>10786</v>
      </c>
      <c r="D7" s="23">
        <v>31289</v>
      </c>
      <c r="E7" s="40">
        <f>'Cash Flow'!E36</f>
        <v>19788.940067931522</v>
      </c>
      <c r="F7" s="40">
        <f>'Cash Flow'!F36</f>
        <v>4851.3148352791795</v>
      </c>
      <c r="G7" s="40">
        <f>'Cash Flow'!G36</f>
        <v>653.85876369773541</v>
      </c>
      <c r="H7" s="40">
        <f>'Cash Flow'!H36</f>
        <v>11093.201761862603</v>
      </c>
      <c r="I7" s="40">
        <f>'Cash Flow'!I36</f>
        <v>15000.000000000005</v>
      </c>
      <c r="J7" s="40">
        <f>'Cash Flow'!J36</f>
        <v>15000.000000000005</v>
      </c>
      <c r="K7" s="40">
        <f>'Cash Flow'!K36</f>
        <v>15000.000000000005</v>
      </c>
      <c r="L7" s="40">
        <f>'Cash Flow'!L36</f>
        <v>15000.000000000005</v>
      </c>
      <c r="M7" s="40">
        <f>'Cash Flow'!M36</f>
        <v>15000.000000000005</v>
      </c>
      <c r="N7" s="40">
        <f>'Cash Flow'!N36</f>
        <v>45456.414632533335</v>
      </c>
    </row>
    <row r="8" spans="1:14" ht="15" customHeight="1" x14ac:dyDescent="0.2">
      <c r="A8" s="19" t="s">
        <v>147</v>
      </c>
      <c r="B8" s="23">
        <v>207</v>
      </c>
      <c r="C8" s="23">
        <v>417</v>
      </c>
      <c r="D8" s="23">
        <v>605</v>
      </c>
      <c r="E8" s="44">
        <f t="shared" ref="E8:N8" si="0">D8</f>
        <v>605</v>
      </c>
      <c r="F8" s="44">
        <f t="shared" si="0"/>
        <v>605</v>
      </c>
      <c r="G8" s="44">
        <f t="shared" si="0"/>
        <v>605</v>
      </c>
      <c r="H8" s="44">
        <f t="shared" si="0"/>
        <v>605</v>
      </c>
      <c r="I8" s="44">
        <f t="shared" si="0"/>
        <v>605</v>
      </c>
      <c r="J8" s="44">
        <f t="shared" si="0"/>
        <v>605</v>
      </c>
      <c r="K8" s="44">
        <f t="shared" si="0"/>
        <v>605</v>
      </c>
      <c r="L8" s="44">
        <f t="shared" si="0"/>
        <v>605</v>
      </c>
      <c r="M8" s="44">
        <f t="shared" si="0"/>
        <v>605</v>
      </c>
      <c r="N8" s="44">
        <f t="shared" si="0"/>
        <v>605</v>
      </c>
    </row>
    <row r="9" spans="1:14" ht="15" customHeight="1" x14ac:dyDescent="0.2">
      <c r="A9" s="19" t="s">
        <v>148</v>
      </c>
      <c r="B9" s="23">
        <v>7874</v>
      </c>
      <c r="C9" s="23">
        <v>8558</v>
      </c>
      <c r="D9" s="23">
        <v>10385</v>
      </c>
      <c r="E9" s="40">
        <f>'Income Statement'!E5*Assumptions!E17/365</f>
        <v>13124.465315068494</v>
      </c>
      <c r="F9" s="40">
        <f>'Income Statement'!F5*Assumptions!F17/365</f>
        <v>16143.092337534245</v>
      </c>
      <c r="G9" s="40">
        <f>'Income Statement'!G5*Assumptions!G17/365</f>
        <v>18951.990404265202</v>
      </c>
      <c r="H9" s="40">
        <f>'Income Statement'!H5*Assumptions!H17/365</f>
        <v>21453.653137628215</v>
      </c>
      <c r="I9" s="40">
        <f>'Income Statement'!I5*Assumptions!I17/365</f>
        <v>23599.018451391039</v>
      </c>
      <c r="J9" s="40">
        <f>'Income Statement'!J5*Assumptions!J17/365</f>
        <v>25557.736982856492</v>
      </c>
      <c r="K9" s="40">
        <f>'Income Statement'!K5*Assumptions!K17/365</f>
        <v>27321.22083467359</v>
      </c>
      <c r="L9" s="40">
        <f>'Income Statement'!L5*Assumptions!L17/365</f>
        <v>28960.494084754006</v>
      </c>
      <c r="M9" s="40">
        <f>'Income Statement'!M5*Assumptions!M17/365</f>
        <v>30495.40027124597</v>
      </c>
      <c r="N9" s="40">
        <f>'Income Statement'!N5*Assumptions!N17/365</f>
        <v>32020.170284808268</v>
      </c>
    </row>
    <row r="10" spans="1:14" ht="15" customHeight="1" x14ac:dyDescent="0.2">
      <c r="A10" s="19" t="s">
        <v>149</v>
      </c>
      <c r="B10" s="23">
        <v>4019</v>
      </c>
      <c r="C10" s="23">
        <v>4818</v>
      </c>
      <c r="D10" s="23">
        <v>4288</v>
      </c>
      <c r="E10" s="40">
        <f>'Income Statement'!E5*Assumptions!E19</f>
        <v>5474.7769600000001</v>
      </c>
      <c r="F10" s="40">
        <f>'Income Statement'!F5*Assumptions!F19</f>
        <v>6733.9756607999998</v>
      </c>
      <c r="G10" s="40">
        <f>'Income Statement'!G5*Assumptions!G19</f>
        <v>7905.6874257791997</v>
      </c>
      <c r="H10" s="40">
        <f>'Income Statement'!H5*Assumptions!H19</f>
        <v>8949.2381659820549</v>
      </c>
      <c r="I10" s="40">
        <f>'Income Statement'!I5*Assumptions!I19</f>
        <v>9844.1619825802609</v>
      </c>
      <c r="J10" s="40">
        <f>'Income Statement'!J5*Assumptions!J19</f>
        <v>10661.227427134423</v>
      </c>
      <c r="K10" s="40">
        <f>'Income Statement'!K5*Assumptions!K19</f>
        <v>11396.852119606698</v>
      </c>
      <c r="L10" s="40">
        <f>'Income Statement'!L5*Assumptions!L19</f>
        <v>12080.6632467831</v>
      </c>
      <c r="M10" s="40">
        <f>'Income Statement'!M5*Assumptions!M19</f>
        <v>12720.938398862605</v>
      </c>
      <c r="N10" s="40">
        <f>'Income Statement'!N5*Assumptions!N19</f>
        <v>13356.985318805735</v>
      </c>
    </row>
    <row r="11" spans="1:14" ht="15" customHeight="1" x14ac:dyDescent="0.2">
      <c r="A11" s="39" t="s">
        <v>150</v>
      </c>
      <c r="B11" s="41">
        <f t="shared" ref="B11:N11" si="1">SUM(B7:B10)</f>
        <v>22554</v>
      </c>
      <c r="C11" s="41">
        <f t="shared" si="1"/>
        <v>24579</v>
      </c>
      <c r="D11" s="41">
        <f t="shared" si="1"/>
        <v>46567</v>
      </c>
      <c r="E11" s="41">
        <f t="shared" si="1"/>
        <v>38993.182343000022</v>
      </c>
      <c r="F11" s="41">
        <f t="shared" si="1"/>
        <v>28333.382833613421</v>
      </c>
      <c r="G11" s="41">
        <f t="shared" si="1"/>
        <v>28116.536593742137</v>
      </c>
      <c r="H11" s="42">
        <f t="shared" si="1"/>
        <v>42101.093065472873</v>
      </c>
      <c r="I11" s="42">
        <f t="shared" si="1"/>
        <v>49048.180433971305</v>
      </c>
      <c r="J11" s="42">
        <f t="shared" si="1"/>
        <v>51823.96440999092</v>
      </c>
      <c r="K11" s="42">
        <f t="shared" si="1"/>
        <v>54323.072954280287</v>
      </c>
      <c r="L11" s="42">
        <f t="shared" si="1"/>
        <v>56646.157331537113</v>
      </c>
      <c r="M11" s="42">
        <f t="shared" si="1"/>
        <v>58821.338670108584</v>
      </c>
      <c r="N11" s="42">
        <f t="shared" si="1"/>
        <v>91438.570236147338</v>
      </c>
    </row>
    <row r="12" spans="1:14" ht="15" customHeight="1" x14ac:dyDescent="0.2">
      <c r="A12" s="19" t="s">
        <v>151</v>
      </c>
      <c r="B12" s="23">
        <v>21536</v>
      </c>
      <c r="C12" s="23">
        <v>56667</v>
      </c>
      <c r="D12" s="23">
        <v>129647</v>
      </c>
      <c r="E12" s="40">
        <f>D12+Assumptions!E16+(E25-D25)-'Cash Flow'!E7</f>
        <v>200595.84235000002</v>
      </c>
      <c r="F12" s="40">
        <f>E12+Assumptions!F16+(F25-E25)-'Cash Flow'!F7</f>
        <v>256351.51504650008</v>
      </c>
      <c r="G12" s="40">
        <f>F12+Assumptions!G16+(G25-F25)-'Cash Flow'!G7</f>
        <v>292037.51882177405</v>
      </c>
      <c r="H12" s="40">
        <f>G12+Assumptions!H16+(H25-G25)-'Cash Flow'!H7</f>
        <v>315235.02447510161</v>
      </c>
      <c r="I12" s="40">
        <f>H12+Assumptions!I16+(I25-H25)-'Cash Flow'!I7</f>
        <v>330149.36848042917</v>
      </c>
      <c r="J12" s="40">
        <f>I12+Assumptions!J16+(J25-I25)-'Cash Flow'!J7</f>
        <v>339320.3888248775</v>
      </c>
      <c r="K12" s="40">
        <f>J12+Assumptions!K16+(K25-J25)-'Cash Flow'!K7</f>
        <v>346145.62445763173</v>
      </c>
      <c r="L12" s="40">
        <f>K12+Assumptions!L16+(L25-K25)-'Cash Flow'!L7</f>
        <v>351612.14785995055</v>
      </c>
      <c r="M12" s="40">
        <f>L12+Assumptions!M16+(M25-L25)-'Cash Flow'!M7</f>
        <v>357002.74987018685</v>
      </c>
      <c r="N12" s="40">
        <f>M12+Assumptions!N16+(N25-M25)-'Cash Flow'!N7</f>
        <v>360959.29785478162</v>
      </c>
    </row>
    <row r="13" spans="1:14" ht="15" customHeight="1" x14ac:dyDescent="0.2">
      <c r="A13" s="19" t="s">
        <v>152</v>
      </c>
      <c r="B13" s="23">
        <v>62230</v>
      </c>
      <c r="C13" s="23">
        <v>62207</v>
      </c>
      <c r="D13" s="23">
        <v>62261</v>
      </c>
      <c r="E13" s="44">
        <f t="shared" ref="E13:N13" si="2">D13</f>
        <v>62261</v>
      </c>
      <c r="F13" s="44">
        <f t="shared" si="2"/>
        <v>62261</v>
      </c>
      <c r="G13" s="44">
        <f t="shared" si="2"/>
        <v>62261</v>
      </c>
      <c r="H13" s="44">
        <f t="shared" si="2"/>
        <v>62261</v>
      </c>
      <c r="I13" s="44">
        <f t="shared" si="2"/>
        <v>62261</v>
      </c>
      <c r="J13" s="44">
        <f t="shared" si="2"/>
        <v>62261</v>
      </c>
      <c r="K13" s="44">
        <f t="shared" si="2"/>
        <v>62261</v>
      </c>
      <c r="L13" s="44">
        <f t="shared" si="2"/>
        <v>62261</v>
      </c>
      <c r="M13" s="44">
        <f t="shared" si="2"/>
        <v>62261</v>
      </c>
      <c r="N13" s="44">
        <f t="shared" si="2"/>
        <v>62261</v>
      </c>
    </row>
    <row r="14" spans="1:14" ht="15" customHeight="1" x14ac:dyDescent="0.2">
      <c r="A14" s="19" t="s">
        <v>153</v>
      </c>
      <c r="B14" s="23">
        <v>34656</v>
      </c>
      <c r="C14" s="23">
        <v>24908</v>
      </c>
      <c r="D14" s="23">
        <v>23284</v>
      </c>
      <c r="E14" s="44">
        <f t="shared" ref="E14:N14" si="3">D14</f>
        <v>23284</v>
      </c>
      <c r="F14" s="44">
        <f t="shared" si="3"/>
        <v>23284</v>
      </c>
      <c r="G14" s="44">
        <f t="shared" si="3"/>
        <v>23284</v>
      </c>
      <c r="H14" s="44">
        <f t="shared" si="3"/>
        <v>23284</v>
      </c>
      <c r="I14" s="44">
        <f t="shared" si="3"/>
        <v>23284</v>
      </c>
      <c r="J14" s="44">
        <f t="shared" si="3"/>
        <v>23284</v>
      </c>
      <c r="K14" s="44">
        <f t="shared" si="3"/>
        <v>23284</v>
      </c>
      <c r="L14" s="44">
        <f t="shared" si="3"/>
        <v>23284</v>
      </c>
      <c r="M14" s="44">
        <f t="shared" si="3"/>
        <v>23284</v>
      </c>
      <c r="N14" s="44">
        <f t="shared" si="3"/>
        <v>23284</v>
      </c>
    </row>
    <row r="15" spans="1:14" ht="15" customHeight="1" x14ac:dyDescent="0.2">
      <c r="A15" s="39" t="s">
        <v>154</v>
      </c>
      <c r="B15" s="41">
        <f t="shared" ref="B15:N15" si="4">B11+B12+B13+B14</f>
        <v>140976</v>
      </c>
      <c r="C15" s="41">
        <f t="shared" si="4"/>
        <v>168361</v>
      </c>
      <c r="D15" s="41">
        <f t="shared" si="4"/>
        <v>261759</v>
      </c>
      <c r="E15" s="41">
        <f t="shared" si="4"/>
        <v>325134.02469300001</v>
      </c>
      <c r="F15" s="41">
        <f t="shared" si="4"/>
        <v>370229.89788011351</v>
      </c>
      <c r="G15" s="41">
        <f t="shared" si="4"/>
        <v>405699.0554155162</v>
      </c>
      <c r="H15" s="42">
        <f t="shared" si="4"/>
        <v>442881.11754057452</v>
      </c>
      <c r="I15" s="42">
        <f t="shared" si="4"/>
        <v>464742.54891440045</v>
      </c>
      <c r="J15" s="42">
        <f t="shared" si="4"/>
        <v>476689.35323486844</v>
      </c>
      <c r="K15" s="42">
        <f t="shared" si="4"/>
        <v>486013.69741191203</v>
      </c>
      <c r="L15" s="42">
        <f t="shared" si="4"/>
        <v>493803.30519148766</v>
      </c>
      <c r="M15" s="42">
        <f t="shared" si="4"/>
        <v>501369.08854029543</v>
      </c>
      <c r="N15" s="42">
        <f t="shared" si="4"/>
        <v>537942.868090929</v>
      </c>
    </row>
    <row r="17" spans="1:14" ht="15" customHeight="1" x14ac:dyDescent="0.2">
      <c r="A17" s="18" t="s">
        <v>155</v>
      </c>
    </row>
    <row r="18" spans="1:14" ht="15" customHeight="1" x14ac:dyDescent="0.2">
      <c r="A18" s="19" t="s">
        <v>114</v>
      </c>
      <c r="B18" s="23">
        <v>2357</v>
      </c>
      <c r="C18" s="23">
        <v>5113</v>
      </c>
      <c r="D18" s="23">
        <v>10977</v>
      </c>
      <c r="E18" s="40">
        <f>('Income Statement'!E6+Assumptions!E16)*Assumptions!E18</f>
        <v>15241.506483000001</v>
      </c>
      <c r="F18" s="40">
        <f>('Income Statement'!F6+Assumptions!F16)*Assumptions!F18</f>
        <v>13866.862925838001</v>
      </c>
      <c r="G18" s="40">
        <f>('Income Statement'!G6+Assumptions!G16)*Assumptions!G18</f>
        <v>11936.339012400958</v>
      </c>
      <c r="H18" s="40">
        <f>('Income Statement'!H6+Assumptions!H16)*Assumptions!H18</f>
        <v>11380.735762037886</v>
      </c>
      <c r="I18" s="40">
        <f>('Income Statement'!I6+Assumptions!I16)*Assumptions!I18</f>
        <v>11024.809338241676</v>
      </c>
      <c r="J18" s="40">
        <f>('Income Statement'!J6+Assumptions!J16)*Assumptions!J18</f>
        <v>10816.348910463979</v>
      </c>
      <c r="K18" s="40">
        <f>('Income Statement'!K6+Assumptions!K16)*Assumptions!K18</f>
        <v>10826.029692113207</v>
      </c>
      <c r="L18" s="40">
        <f>('Income Statement'!L6+Assumptions!L16)*Assumptions!L18</f>
        <v>10995.888986464563</v>
      </c>
      <c r="M18" s="40">
        <f>('Income Statement'!M6+Assumptions!M16)*Assumptions!M18</f>
        <v>11228.115824253584</v>
      </c>
      <c r="N18" s="40">
        <f>('Income Statement'!N6+Assumptions!N16)*Assumptions!N18</f>
        <v>11475.432920520741</v>
      </c>
    </row>
    <row r="19" spans="1:14" ht="15" customHeight="1" x14ac:dyDescent="0.2">
      <c r="A19" s="19" t="s">
        <v>156</v>
      </c>
      <c r="B19" s="23">
        <v>1916</v>
      </c>
      <c r="C19" s="23">
        <v>2243</v>
      </c>
      <c r="D19" s="23">
        <v>2225</v>
      </c>
      <c r="E19" s="40">
        <f>'Income Statement'!E5*Assumptions!E20</f>
        <v>2822.9318699999999</v>
      </c>
      <c r="F19" s="40">
        <f>'Income Statement'!F5*Assumptions!F20</f>
        <v>3472.2062000999999</v>
      </c>
      <c r="G19" s="40">
        <f>'Income Statement'!G5*Assumptions!G20</f>
        <v>4076.3700789174</v>
      </c>
      <c r="H19" s="40">
        <f>'Income Statement'!H5*Assumptions!H20</f>
        <v>4614.4509293344972</v>
      </c>
      <c r="I19" s="40">
        <f>'Income Statement'!I5*Assumptions!I20</f>
        <v>5075.896022267947</v>
      </c>
      <c r="J19" s="40">
        <f>'Income Statement'!J5*Assumptions!J20</f>
        <v>5497.1953921161867</v>
      </c>
      <c r="K19" s="40">
        <f>'Income Statement'!K5*Assumptions!K20</f>
        <v>5876.5018741722042</v>
      </c>
      <c r="L19" s="40">
        <f>'Income Statement'!L5*Assumptions!L20</f>
        <v>6229.0919866225358</v>
      </c>
      <c r="M19" s="40">
        <f>'Income Statement'!M5*Assumptions!M20</f>
        <v>6559.2338619135307</v>
      </c>
      <c r="N19" s="40">
        <f>'Income Statement'!N5*Assumptions!N20</f>
        <v>6887.195555009208</v>
      </c>
    </row>
    <row r="20" spans="1:14" ht="15" customHeight="1" x14ac:dyDescent="0.2">
      <c r="A20" s="19" t="s">
        <v>157</v>
      </c>
      <c r="B20" s="23">
        <v>10605</v>
      </c>
      <c r="C20" s="23">
        <v>7271</v>
      </c>
      <c r="D20" s="23">
        <v>7199</v>
      </c>
      <c r="E20" s="44">
        <f t="shared" ref="E20:N20" si="5">D20</f>
        <v>7199</v>
      </c>
      <c r="F20" s="44">
        <f t="shared" si="5"/>
        <v>7199</v>
      </c>
      <c r="G20" s="44">
        <f t="shared" si="5"/>
        <v>7199</v>
      </c>
      <c r="H20" s="44">
        <f t="shared" si="5"/>
        <v>7199</v>
      </c>
      <c r="I20" s="44">
        <f t="shared" si="5"/>
        <v>7199</v>
      </c>
      <c r="J20" s="44">
        <f t="shared" si="5"/>
        <v>7199</v>
      </c>
      <c r="K20" s="44">
        <f t="shared" si="5"/>
        <v>7199</v>
      </c>
      <c r="L20" s="44">
        <f t="shared" si="5"/>
        <v>7199</v>
      </c>
      <c r="M20" s="44">
        <f t="shared" si="5"/>
        <v>7199</v>
      </c>
      <c r="N20" s="44">
        <f t="shared" si="5"/>
        <v>7199</v>
      </c>
    </row>
    <row r="21" spans="1:14" ht="15" customHeight="1" x14ac:dyDescent="0.2">
      <c r="A21" s="19" t="s">
        <v>158</v>
      </c>
      <c r="B21" s="23">
        <v>9313</v>
      </c>
      <c r="C21" s="23">
        <v>9387</v>
      </c>
      <c r="D21" s="23">
        <v>9916</v>
      </c>
      <c r="E21" s="40">
        <f>'Income Statement'!E5*Assumptions!E21</f>
        <v>12574.87833</v>
      </c>
      <c r="F21" s="40">
        <f>'Income Statement'!F5*Assumptions!F21</f>
        <v>15467.100345899999</v>
      </c>
      <c r="G21" s="40">
        <f>'Income Statement'!G5*Assumptions!G21</f>
        <v>18158.375806086598</v>
      </c>
      <c r="H21" s="40">
        <f>'Income Statement'!H5*Assumptions!H21</f>
        <v>20555.281412490029</v>
      </c>
      <c r="I21" s="40">
        <f>'Income Statement'!I5*Assumptions!I21</f>
        <v>22610.809553739036</v>
      </c>
      <c r="J21" s="40">
        <f>'Income Statement'!J5*Assumptions!J21</f>
        <v>24487.506746699375</v>
      </c>
      <c r="K21" s="40">
        <f>'Income Statement'!K5*Assumptions!K21</f>
        <v>26177.144712221634</v>
      </c>
      <c r="L21" s="40">
        <f>'Income Statement'!L5*Assumptions!L21</f>
        <v>27747.773394954933</v>
      </c>
      <c r="M21" s="40">
        <f>'Income Statement'!M5*Assumptions!M21</f>
        <v>29218.405384887541</v>
      </c>
      <c r="N21" s="40">
        <f>'Income Statement'!N5*Assumptions!N21</f>
        <v>30679.325654131921</v>
      </c>
    </row>
    <row r="22" spans="1:14" ht="15" customHeight="1" x14ac:dyDescent="0.2">
      <c r="A22" s="19" t="s">
        <v>159</v>
      </c>
      <c r="B22" s="23">
        <v>7353</v>
      </c>
      <c r="C22" s="23">
        <v>8629</v>
      </c>
      <c r="D22" s="23">
        <v>11447</v>
      </c>
      <c r="E22" s="40">
        <f>'Income Statement'!E5*Assumptions!E22</f>
        <v>14542.376300000002</v>
      </c>
      <c r="F22" s="40">
        <f>'Income Statement'!F5*Assumptions!F22</f>
        <v>17887.122848999999</v>
      </c>
      <c r="G22" s="40">
        <f>'Income Statement'!G5*Assumptions!G22</f>
        <v>20999.482224725998</v>
      </c>
      <c r="H22" s="40">
        <f>'Income Statement'!H5*Assumptions!H22</f>
        <v>23771.413878389834</v>
      </c>
      <c r="I22" s="40">
        <f>'Income Statement'!I5*Assumptions!I22</f>
        <v>26148.555266228821</v>
      </c>
      <c r="J22" s="40">
        <f>'Income Statement'!J5*Assumptions!J22</f>
        <v>28318.885353325812</v>
      </c>
      <c r="K22" s="40">
        <f>'Income Statement'!K5*Assumptions!K22</f>
        <v>30272.888442705294</v>
      </c>
      <c r="L22" s="40">
        <f>'Income Statement'!L5*Assumptions!L22</f>
        <v>32089.261749267611</v>
      </c>
      <c r="M22" s="40">
        <f>'Income Statement'!M5*Assumptions!M22</f>
        <v>33789.992621978796</v>
      </c>
      <c r="N22" s="40">
        <f>'Income Statement'!N5*Assumptions!N22</f>
        <v>35479.49225307774</v>
      </c>
    </row>
    <row r="23" spans="1:14" ht="15" customHeight="1" x14ac:dyDescent="0.2">
      <c r="A23" s="39" t="s">
        <v>160</v>
      </c>
      <c r="B23" s="41">
        <f t="shared" ref="B23:N23" si="6">SUM(B18:B22)</f>
        <v>31544</v>
      </c>
      <c r="C23" s="41">
        <f t="shared" si="6"/>
        <v>32643</v>
      </c>
      <c r="D23" s="41">
        <f t="shared" si="6"/>
        <v>41764</v>
      </c>
      <c r="E23" s="41">
        <f t="shared" si="6"/>
        <v>52380.692983000001</v>
      </c>
      <c r="F23" s="41">
        <f t="shared" si="6"/>
        <v>57892.292320838002</v>
      </c>
      <c r="G23" s="41">
        <f t="shared" si="6"/>
        <v>62369.56712213096</v>
      </c>
      <c r="H23" s="42">
        <f t="shared" si="6"/>
        <v>67520.881982252249</v>
      </c>
      <c r="I23" s="42">
        <f t="shared" si="6"/>
        <v>72059.070180477487</v>
      </c>
      <c r="J23" s="42">
        <f t="shared" si="6"/>
        <v>76318.936402605352</v>
      </c>
      <c r="K23" s="42">
        <f t="shared" si="6"/>
        <v>80351.564721212344</v>
      </c>
      <c r="L23" s="42">
        <f t="shared" si="6"/>
        <v>84261.016117309642</v>
      </c>
      <c r="M23" s="42">
        <f t="shared" si="6"/>
        <v>87994.747693033452</v>
      </c>
      <c r="N23" s="42">
        <f t="shared" si="6"/>
        <v>91720.44638273961</v>
      </c>
    </row>
    <row r="24" spans="1:14" ht="15" customHeight="1" x14ac:dyDescent="0.2">
      <c r="A24" s="19" t="s">
        <v>161</v>
      </c>
      <c r="B24" s="23">
        <v>76264</v>
      </c>
      <c r="C24" s="23">
        <v>85297</v>
      </c>
      <c r="D24" s="23">
        <v>122342</v>
      </c>
      <c r="E24" s="40">
        <f>D24+Assumptions!E25-Assumptions!E26+'Cash Flow'!E29</f>
        <v>155342</v>
      </c>
      <c r="F24" s="40">
        <f>E24+Assumptions!F25-Assumptions!F26+'Cash Flow'!F29</f>
        <v>172342</v>
      </c>
      <c r="G24" s="40">
        <f>F24+Assumptions!G25-Assumptions!G26+'Cash Flow'!G29</f>
        <v>178342</v>
      </c>
      <c r="H24" s="40">
        <f>G24+Assumptions!H25-Assumptions!H26+'Cash Flow'!H29</f>
        <v>181342</v>
      </c>
      <c r="I24" s="40">
        <f>H24+Assumptions!I25-Assumptions!I26+'Cash Flow'!I29</f>
        <v>166157.6687610473</v>
      </c>
      <c r="J24" s="40">
        <f>I24+Assumptions!J25-Assumptions!J26+'Cash Flow'!J29</f>
        <v>137726.90759139622</v>
      </c>
      <c r="K24" s="40">
        <f>J24+Assumptions!K25-Assumptions!K26+'Cash Flow'!K29</f>
        <v>102880.28399266677</v>
      </c>
      <c r="L24" s="40">
        <f>K24+Assumptions!L25-Assumptions!L26+'Cash Flow'!L29</f>
        <v>62934.617324223815</v>
      </c>
      <c r="M24" s="40">
        <f>L24+Assumptions!M25-Assumptions!M26+'Cash Flow'!M29</f>
        <v>18860.791110040642</v>
      </c>
      <c r="N24" s="40">
        <f>M24+Assumptions!N25-Assumptions!N26+'Cash Flow'!N29</f>
        <v>0</v>
      </c>
    </row>
    <row r="25" spans="1:14" ht="15" customHeight="1" x14ac:dyDescent="0.2">
      <c r="A25" s="19" t="s">
        <v>162</v>
      </c>
      <c r="B25" s="23">
        <v>6255</v>
      </c>
      <c r="C25" s="23">
        <v>11536</v>
      </c>
      <c r="D25" s="23">
        <v>26648</v>
      </c>
      <c r="E25" s="40">
        <f>D25*(1+Assumptions!E23)</f>
        <v>30645.199999999997</v>
      </c>
      <c r="F25" s="40">
        <f>E25*(1+Assumptions!F23)</f>
        <v>33709.72</v>
      </c>
      <c r="G25" s="40">
        <f>F25*(1+Assumptions!G23)</f>
        <v>35395.206000000006</v>
      </c>
      <c r="H25" s="40">
        <f>G25*(1+Assumptions!H23)</f>
        <v>37164.966300000007</v>
      </c>
      <c r="I25" s="40">
        <f>H25*(1+Assumptions!I23)</f>
        <v>38651.564952000008</v>
      </c>
      <c r="J25" s="40">
        <f>I25*(1+Assumptions!J23)</f>
        <v>39811.111900560012</v>
      </c>
      <c r="K25" s="40">
        <f>J25*(1+Assumptions!K23)</f>
        <v>41005.445257576815</v>
      </c>
      <c r="L25" s="40">
        <f>K25*(1+Assumptions!L23)</f>
        <v>42235.608615304118</v>
      </c>
      <c r="M25" s="40">
        <f>L25*(1+Assumptions!M23)</f>
        <v>43502.676873763245</v>
      </c>
      <c r="N25" s="40">
        <f>M25*(1+Assumptions!N23)</f>
        <v>44807.757179976143</v>
      </c>
    </row>
    <row r="26" spans="1:14" ht="15" customHeight="1" x14ac:dyDescent="0.2">
      <c r="A26" s="19" t="s">
        <v>163</v>
      </c>
      <c r="B26" s="23">
        <v>17674</v>
      </c>
      <c r="C26" s="23">
        <v>17916</v>
      </c>
      <c r="D26" s="23">
        <v>27949</v>
      </c>
      <c r="E26" s="44">
        <f t="shared" ref="E26:N26" si="7">D26</f>
        <v>27949</v>
      </c>
      <c r="F26" s="44">
        <f t="shared" si="7"/>
        <v>27949</v>
      </c>
      <c r="G26" s="44">
        <f t="shared" si="7"/>
        <v>27949</v>
      </c>
      <c r="H26" s="44">
        <f t="shared" si="7"/>
        <v>27949</v>
      </c>
      <c r="I26" s="44">
        <f t="shared" si="7"/>
        <v>27949</v>
      </c>
      <c r="J26" s="44">
        <f t="shared" si="7"/>
        <v>27949</v>
      </c>
      <c r="K26" s="44">
        <f t="shared" si="7"/>
        <v>27949</v>
      </c>
      <c r="L26" s="44">
        <f t="shared" si="7"/>
        <v>27949</v>
      </c>
      <c r="M26" s="44">
        <f t="shared" si="7"/>
        <v>27949</v>
      </c>
      <c r="N26" s="44">
        <f t="shared" si="7"/>
        <v>27949</v>
      </c>
    </row>
    <row r="27" spans="1:14" ht="15" customHeight="1" x14ac:dyDescent="0.2">
      <c r="A27" s="39" t="s">
        <v>164</v>
      </c>
      <c r="B27" s="41">
        <f t="shared" ref="B27:N27" si="8">B23+B24+B25+B26</f>
        <v>131737</v>
      </c>
      <c r="C27" s="41">
        <f t="shared" si="8"/>
        <v>147392</v>
      </c>
      <c r="D27" s="41">
        <f t="shared" si="8"/>
        <v>218703</v>
      </c>
      <c r="E27" s="41">
        <f t="shared" si="8"/>
        <v>266316.89298300003</v>
      </c>
      <c r="F27" s="41">
        <f t="shared" si="8"/>
        <v>291893.012320838</v>
      </c>
      <c r="G27" s="41">
        <f t="shared" si="8"/>
        <v>304055.77312213095</v>
      </c>
      <c r="H27" s="42">
        <f t="shared" si="8"/>
        <v>313976.84828225226</v>
      </c>
      <c r="I27" s="42">
        <f t="shared" si="8"/>
        <v>304817.3038935248</v>
      </c>
      <c r="J27" s="42">
        <f t="shared" si="8"/>
        <v>281805.9558945616</v>
      </c>
      <c r="K27" s="42">
        <f t="shared" si="8"/>
        <v>252186.29397145595</v>
      </c>
      <c r="L27" s="42">
        <f t="shared" si="8"/>
        <v>217380.24205683757</v>
      </c>
      <c r="M27" s="42">
        <f t="shared" si="8"/>
        <v>178307.21567683734</v>
      </c>
      <c r="N27" s="42">
        <f t="shared" si="8"/>
        <v>164477.20356271576</v>
      </c>
    </row>
    <row r="29" spans="1:14" ht="15" customHeight="1" x14ac:dyDescent="0.2">
      <c r="A29" s="18" t="s">
        <v>165</v>
      </c>
    </row>
    <row r="30" spans="1:14" ht="15" customHeight="1" x14ac:dyDescent="0.2">
      <c r="A30" s="19" t="s">
        <v>166</v>
      </c>
      <c r="B30" s="23">
        <v>0</v>
      </c>
      <c r="C30" s="23">
        <v>0</v>
      </c>
      <c r="D30" s="23">
        <v>4954</v>
      </c>
      <c r="E30" s="44">
        <f t="shared" ref="E30:N30" si="9">D30</f>
        <v>4954</v>
      </c>
      <c r="F30" s="44">
        <f t="shared" si="9"/>
        <v>4954</v>
      </c>
      <c r="G30" s="44">
        <f t="shared" si="9"/>
        <v>4954</v>
      </c>
      <c r="H30" s="44">
        <f t="shared" si="9"/>
        <v>4954</v>
      </c>
      <c r="I30" s="44">
        <f t="shared" si="9"/>
        <v>4954</v>
      </c>
      <c r="J30" s="44">
        <f t="shared" si="9"/>
        <v>4954</v>
      </c>
      <c r="K30" s="44">
        <f t="shared" si="9"/>
        <v>4954</v>
      </c>
      <c r="L30" s="44">
        <f t="shared" si="9"/>
        <v>4954</v>
      </c>
      <c r="M30" s="44">
        <f t="shared" si="9"/>
        <v>4954</v>
      </c>
      <c r="N30" s="44">
        <f t="shared" si="9"/>
        <v>4954</v>
      </c>
    </row>
    <row r="31" spans="1:14" ht="15" customHeight="1" x14ac:dyDescent="0.2">
      <c r="A31" s="19" t="s">
        <v>167</v>
      </c>
      <c r="B31" s="23">
        <v>32764</v>
      </c>
      <c r="C31" s="23">
        <v>37107</v>
      </c>
      <c r="D31" s="23">
        <v>43243</v>
      </c>
      <c r="E31" s="40">
        <f>D31+'Cash Flow'!E8+Assumptions!E31</f>
        <v>50431.037300000004</v>
      </c>
      <c r="F31" s="40">
        <f>E31+'Cash Flow'!F8+Assumptions!F31</f>
        <v>58891.104809300006</v>
      </c>
      <c r="G31" s="40">
        <f>F31+'Cash Flow'!G8+Assumptions!G31</f>
        <v>68490.897699190406</v>
      </c>
      <c r="H31" s="40">
        <f>G31+'Cash Flow'!H8+Assumptions!H31</f>
        <v>78779.967711515928</v>
      </c>
      <c r="I31" s="40">
        <f>H31+'Cash Flow'!I8+Assumptions!I31</f>
        <v>89516.499632140563</v>
      </c>
      <c r="J31" s="40">
        <f>I31+'Cash Flow'!J8+Assumptions!J31</f>
        <v>100711.40034507908</v>
      </c>
      <c r="K31" s="40">
        <f>J31+'Cash Flow'!K8+Assumptions!K31</f>
        <v>112239.79757847264</v>
      </c>
      <c r="L31" s="40">
        <f>K31+'Cash Flow'!L8+Assumptions!L31</f>
        <v>123821.61755617688</v>
      </c>
      <c r="M31" s="40">
        <f>L31+'Cash Flow'!M8+Assumptions!M31</f>
        <v>135556.14466773497</v>
      </c>
      <c r="N31" s="40">
        <f>M31+'Cash Flow'!N8+Assumptions!N31</f>
        <v>147191.28944805195</v>
      </c>
    </row>
    <row r="32" spans="1:14" ht="15" customHeight="1" x14ac:dyDescent="0.2">
      <c r="A32" s="19" t="s">
        <v>168</v>
      </c>
      <c r="B32" s="23">
        <v>-22628</v>
      </c>
      <c r="C32" s="23">
        <v>-15481</v>
      </c>
      <c r="D32" s="23">
        <v>-4309</v>
      </c>
      <c r="E32" s="40">
        <f>D32+'Income Statement'!E19-Assumptions!E29+'Cash Flow'!E28+'Cash Flow'!E27</f>
        <v>4264.0944100000006</v>
      </c>
      <c r="F32" s="40">
        <f>E32+'Income Statement'!F19-Assumptions!F29+'Cash Flow'!F28+'Cash Flow'!F27</f>
        <v>15323.780749975413</v>
      </c>
      <c r="G32" s="40">
        <f>F32+'Income Statement'!G19-Assumptions!G29+'Cash Flow'!G28+'Cash Flow'!G27</f>
        <v>29030.384594194766</v>
      </c>
      <c r="H32" s="40">
        <f>G32+'Income Statement'!H19-Assumptions!H29+'Cash Flow'!H28+'Cash Flow'!H27</f>
        <v>46002.301546806193</v>
      </c>
      <c r="I32" s="40">
        <f>H32+'Income Statement'!I19-Assumptions!I29+'Cash Flow'!I28+'Cash Flow'!I27</f>
        <v>66286.745388734984</v>
      </c>
      <c r="J32" s="40">
        <f>I32+'Income Statement'!J19-Assumptions!J29+'Cash Flow'!J28+'Cash Flow'!J27</f>
        <v>90049.996995227615</v>
      </c>
      <c r="K32" s="40">
        <f>J32+'Income Statement'!K19-Assumptions!K29+'Cash Flow'!K28+'Cash Flow'!K27</f>
        <v>117465.60586198333</v>
      </c>
      <c r="L32" s="40">
        <f>K32+'Income Statement'!L19-Assumptions!L29+'Cash Flow'!L28+'Cash Flow'!L27</f>
        <v>148479.4455784731</v>
      </c>
      <c r="M32" s="40">
        <f>L32+'Income Statement'!M19-Assumptions!M29+'Cash Flow'!M28+'Cash Flow'!M27</f>
        <v>183383.728195723</v>
      </c>
      <c r="N32" s="40">
        <f>M32+'Income Statement'!N19-Assumptions!N29+'Cash Flow'!N28+'Cash Flow'!N27</f>
        <v>222152.37508016112</v>
      </c>
    </row>
    <row r="33" spans="1:14" ht="15" customHeight="1" x14ac:dyDescent="0.2">
      <c r="A33" s="19" t="s">
        <v>169</v>
      </c>
      <c r="B33" s="23">
        <v>-1432</v>
      </c>
      <c r="C33" s="23">
        <v>-1175</v>
      </c>
      <c r="D33" s="23">
        <v>-1380</v>
      </c>
      <c r="E33" s="44">
        <f t="shared" ref="E33:N33" si="10">D33</f>
        <v>-1380</v>
      </c>
      <c r="F33" s="44">
        <f t="shared" si="10"/>
        <v>-1380</v>
      </c>
      <c r="G33" s="44">
        <f t="shared" si="10"/>
        <v>-1380</v>
      </c>
      <c r="H33" s="44">
        <f t="shared" si="10"/>
        <v>-1380</v>
      </c>
      <c r="I33" s="44">
        <f t="shared" si="10"/>
        <v>-1380</v>
      </c>
      <c r="J33" s="44">
        <f t="shared" si="10"/>
        <v>-1380</v>
      </c>
      <c r="K33" s="44">
        <f t="shared" si="10"/>
        <v>-1380</v>
      </c>
      <c r="L33" s="44">
        <f t="shared" si="10"/>
        <v>-1380</v>
      </c>
      <c r="M33" s="44">
        <f t="shared" si="10"/>
        <v>-1380</v>
      </c>
      <c r="N33" s="44">
        <f t="shared" si="10"/>
        <v>-1380</v>
      </c>
    </row>
    <row r="34" spans="1:14" ht="15" customHeight="1" x14ac:dyDescent="0.2">
      <c r="A34" s="39" t="s">
        <v>170</v>
      </c>
      <c r="B34" s="41">
        <f t="shared" ref="B34:N34" si="11">SUM(B30:B33)</f>
        <v>8704</v>
      </c>
      <c r="C34" s="41">
        <f t="shared" si="11"/>
        <v>20451</v>
      </c>
      <c r="D34" s="41">
        <f t="shared" si="11"/>
        <v>42508</v>
      </c>
      <c r="E34" s="41">
        <f t="shared" si="11"/>
        <v>58269.131710000001</v>
      </c>
      <c r="F34" s="41">
        <f t="shared" si="11"/>
        <v>77788.885559275426</v>
      </c>
      <c r="G34" s="41">
        <f t="shared" si="11"/>
        <v>101095.28229338517</v>
      </c>
      <c r="H34" s="42">
        <f t="shared" si="11"/>
        <v>128356.26925832212</v>
      </c>
      <c r="I34" s="42">
        <f t="shared" si="11"/>
        <v>159377.24502087553</v>
      </c>
      <c r="J34" s="42">
        <f t="shared" si="11"/>
        <v>194335.39734030669</v>
      </c>
      <c r="K34" s="42">
        <f t="shared" si="11"/>
        <v>233279.40344045596</v>
      </c>
      <c r="L34" s="42">
        <f t="shared" si="11"/>
        <v>275875.06313465</v>
      </c>
      <c r="M34" s="42">
        <f t="shared" si="11"/>
        <v>322513.872863458</v>
      </c>
      <c r="N34" s="42">
        <f t="shared" si="11"/>
        <v>372917.66452821309</v>
      </c>
    </row>
    <row r="35" spans="1:14" ht="15" customHeight="1" x14ac:dyDescent="0.2">
      <c r="A35" s="19" t="s">
        <v>171</v>
      </c>
      <c r="B35" s="23">
        <v>535</v>
      </c>
      <c r="C35" s="23">
        <v>518</v>
      </c>
      <c r="D35" s="23">
        <v>548</v>
      </c>
      <c r="E35" s="44">
        <f t="shared" ref="E35:N35" si="12">D35</f>
        <v>548</v>
      </c>
      <c r="F35" s="44">
        <f t="shared" si="12"/>
        <v>548</v>
      </c>
      <c r="G35" s="44">
        <f t="shared" si="12"/>
        <v>548</v>
      </c>
      <c r="H35" s="44">
        <f t="shared" si="12"/>
        <v>548</v>
      </c>
      <c r="I35" s="44">
        <f t="shared" si="12"/>
        <v>548</v>
      </c>
      <c r="J35" s="44">
        <f t="shared" si="12"/>
        <v>548</v>
      </c>
      <c r="K35" s="44">
        <f t="shared" si="12"/>
        <v>548</v>
      </c>
      <c r="L35" s="44">
        <f t="shared" si="12"/>
        <v>548</v>
      </c>
      <c r="M35" s="44">
        <f t="shared" si="12"/>
        <v>548</v>
      </c>
      <c r="N35" s="44">
        <f t="shared" si="12"/>
        <v>548</v>
      </c>
    </row>
    <row r="36" spans="1:14" ht="15" customHeight="1" x14ac:dyDescent="0.2">
      <c r="A36" s="39" t="s">
        <v>172</v>
      </c>
      <c r="B36" s="42">
        <f t="shared" ref="B36:N36" si="13">B34+B35</f>
        <v>9239</v>
      </c>
      <c r="C36" s="42">
        <f t="shared" si="13"/>
        <v>20969</v>
      </c>
      <c r="D36" s="42">
        <f t="shared" si="13"/>
        <v>43056</v>
      </c>
      <c r="E36" s="42">
        <f t="shared" si="13"/>
        <v>58817.131710000001</v>
      </c>
      <c r="F36" s="42">
        <f t="shared" si="13"/>
        <v>78336.885559275426</v>
      </c>
      <c r="G36" s="42">
        <f t="shared" si="13"/>
        <v>101643.28229338517</v>
      </c>
      <c r="H36" s="42">
        <f t="shared" si="13"/>
        <v>128904.26925832212</v>
      </c>
      <c r="I36" s="42">
        <f t="shared" si="13"/>
        <v>159925.24502087553</v>
      </c>
      <c r="J36" s="42">
        <f t="shared" si="13"/>
        <v>194883.39734030669</v>
      </c>
      <c r="K36" s="42">
        <f t="shared" si="13"/>
        <v>233827.40344045596</v>
      </c>
      <c r="L36" s="42">
        <f t="shared" si="13"/>
        <v>276423.06313465</v>
      </c>
      <c r="M36" s="42">
        <f t="shared" si="13"/>
        <v>323061.872863458</v>
      </c>
      <c r="N36" s="42">
        <f t="shared" si="13"/>
        <v>373465.66452821309</v>
      </c>
    </row>
    <row r="37" spans="1:14" ht="15" customHeight="1" x14ac:dyDescent="0.2">
      <c r="A37" s="39" t="s">
        <v>173</v>
      </c>
      <c r="B37" s="41">
        <f t="shared" ref="B37:N37" si="14">B27+B36</f>
        <v>140976</v>
      </c>
      <c r="C37" s="41">
        <f t="shared" si="14"/>
        <v>168361</v>
      </c>
      <c r="D37" s="41">
        <f t="shared" si="14"/>
        <v>261759</v>
      </c>
      <c r="E37" s="41">
        <f t="shared" si="14"/>
        <v>325134.02469300001</v>
      </c>
      <c r="F37" s="41">
        <f t="shared" si="14"/>
        <v>370229.89788011345</v>
      </c>
      <c r="G37" s="41">
        <f t="shared" si="14"/>
        <v>405699.05541551614</v>
      </c>
      <c r="H37" s="42">
        <f t="shared" si="14"/>
        <v>442881.1175405744</v>
      </c>
      <c r="I37" s="42">
        <f t="shared" si="14"/>
        <v>464742.54891440034</v>
      </c>
      <c r="J37" s="42">
        <f t="shared" si="14"/>
        <v>476689.35323486826</v>
      </c>
      <c r="K37" s="42">
        <f t="shared" si="14"/>
        <v>486013.69741191191</v>
      </c>
      <c r="L37" s="42">
        <f t="shared" si="14"/>
        <v>493803.30519148754</v>
      </c>
      <c r="M37" s="42">
        <f t="shared" si="14"/>
        <v>501369.08854029537</v>
      </c>
      <c r="N37" s="42">
        <f t="shared" si="14"/>
        <v>537942.86809092888</v>
      </c>
    </row>
    <row r="39" spans="1:14" ht="15" customHeight="1" x14ac:dyDescent="0.2">
      <c r="A39" s="19" t="s">
        <v>174</v>
      </c>
      <c r="B39" s="44">
        <f t="shared" ref="B39:N39" si="15">B15-B37</f>
        <v>0</v>
      </c>
      <c r="C39" s="44">
        <f t="shared" si="15"/>
        <v>0</v>
      </c>
      <c r="D39" s="44">
        <f t="shared" si="15"/>
        <v>0</v>
      </c>
      <c r="E39" s="44">
        <f t="shared" si="15"/>
        <v>0</v>
      </c>
      <c r="F39" s="44">
        <f t="shared" si="15"/>
        <v>0</v>
      </c>
      <c r="G39" s="44">
        <f t="shared" si="15"/>
        <v>0</v>
      </c>
      <c r="H39" s="44">
        <f t="shared" si="15"/>
        <v>0</v>
      </c>
      <c r="I39" s="44">
        <f t="shared" si="15"/>
        <v>0</v>
      </c>
      <c r="J39" s="44">
        <f t="shared" si="15"/>
        <v>0</v>
      </c>
      <c r="K39" s="44">
        <f t="shared" si="15"/>
        <v>0</v>
      </c>
      <c r="L39" s="44">
        <f t="shared" si="15"/>
        <v>0</v>
      </c>
      <c r="M39" s="44">
        <f t="shared" si="15"/>
        <v>0</v>
      </c>
      <c r="N39" s="44">
        <f t="shared" si="15"/>
        <v>0</v>
      </c>
    </row>
    <row r="40" spans="1:14" ht="15" customHeight="1" x14ac:dyDescent="0.2">
      <c r="A40" s="19" t="s">
        <v>175</v>
      </c>
      <c r="B40" s="44">
        <f t="shared" ref="B40:N40" si="16">B20+B24+B25</f>
        <v>93124</v>
      </c>
      <c r="C40" s="44">
        <f t="shared" si="16"/>
        <v>104104</v>
      </c>
      <c r="D40" s="44">
        <f t="shared" si="16"/>
        <v>156189</v>
      </c>
      <c r="E40" s="44">
        <f t="shared" si="16"/>
        <v>193186.2</v>
      </c>
      <c r="F40" s="44">
        <f t="shared" si="16"/>
        <v>213250.72</v>
      </c>
      <c r="G40" s="44">
        <f t="shared" si="16"/>
        <v>220936.20600000001</v>
      </c>
      <c r="H40" s="44">
        <f t="shared" si="16"/>
        <v>225705.9663</v>
      </c>
      <c r="I40" s="44">
        <f t="shared" si="16"/>
        <v>212008.23371304732</v>
      </c>
      <c r="J40" s="44">
        <f t="shared" si="16"/>
        <v>184737.01949195622</v>
      </c>
      <c r="K40" s="44">
        <f t="shared" si="16"/>
        <v>151084.72925024357</v>
      </c>
      <c r="L40" s="44">
        <f t="shared" si="16"/>
        <v>112369.22593952794</v>
      </c>
      <c r="M40" s="44">
        <f t="shared" si="16"/>
        <v>69562.467983803886</v>
      </c>
      <c r="N40" s="44">
        <f t="shared" si="16"/>
        <v>52006.757179976143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6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6640625" defaultRowHeight="15" x14ac:dyDescent="0.2"/>
  <cols>
    <col min="1" max="1" width="42" customWidth="1"/>
    <col min="2" max="7" width="12" customWidth="1"/>
  </cols>
  <sheetData>
    <row r="1" spans="1:14" ht="15" customHeight="1" x14ac:dyDescent="0.2">
      <c r="A1" s="14" t="s">
        <v>176</v>
      </c>
    </row>
    <row r="2" spans="1:14" ht="15" customHeight="1" x14ac:dyDescent="0.2">
      <c r="A2" s="15" t="s">
        <v>177</v>
      </c>
    </row>
    <row r="3" spans="1:14" ht="15" customHeight="1" x14ac:dyDescent="0.2">
      <c r="B3" s="16" t="s">
        <v>31</v>
      </c>
      <c r="C3" s="16" t="s">
        <v>32</v>
      </c>
      <c r="D3" s="16" t="s">
        <v>33</v>
      </c>
      <c r="E3" s="16" t="s">
        <v>34</v>
      </c>
      <c r="F3" s="16" t="s">
        <v>35</v>
      </c>
      <c r="G3" s="16" t="s">
        <v>36</v>
      </c>
      <c r="H3" s="17" t="s">
        <v>37</v>
      </c>
      <c r="I3" s="17" t="s">
        <v>38</v>
      </c>
      <c r="J3" s="17" t="s">
        <v>39</v>
      </c>
      <c r="K3" s="17" t="s">
        <v>40</v>
      </c>
      <c r="L3" s="17" t="s">
        <v>41</v>
      </c>
      <c r="M3" s="17" t="s">
        <v>42</v>
      </c>
      <c r="N3" s="17" t="s">
        <v>43</v>
      </c>
    </row>
    <row r="5" spans="1:14" ht="15" customHeight="1" x14ac:dyDescent="0.2">
      <c r="A5" s="18" t="s">
        <v>178</v>
      </c>
    </row>
    <row r="6" spans="1:14" ht="15" customHeight="1" x14ac:dyDescent="0.2">
      <c r="A6" s="19" t="s">
        <v>134</v>
      </c>
      <c r="B6" s="23">
        <v>10467</v>
      </c>
      <c r="C6" s="23">
        <v>12443</v>
      </c>
      <c r="D6" s="23">
        <v>17087</v>
      </c>
      <c r="E6" s="40">
        <f>'Income Statement'!E19</f>
        <v>16375.590410000001</v>
      </c>
      <c r="F6" s="40">
        <f>'Income Statement'!F19</f>
        <v>19733.400687975409</v>
      </c>
      <c r="G6" s="40">
        <f>'Income Statement'!G19</f>
        <v>23344.188980099356</v>
      </c>
      <c r="H6" s="40">
        <f>'Income Statement'!H19</f>
        <v>27513.640502229988</v>
      </c>
      <c r="I6" s="40">
        <f>'Income Statement'!I19</f>
        <v>31724.080091892494</v>
      </c>
      <c r="J6" s="40">
        <f>'Income Statement'!J19</f>
        <v>36070.022327447296</v>
      </c>
      <c r="K6" s="40">
        <f>'Income Statement'!K19</f>
        <v>40537.152766490937</v>
      </c>
      <c r="L6" s="40">
        <f>'Income Statement'!L19</f>
        <v>44927.487836653272</v>
      </c>
      <c r="M6" s="40">
        <f>'Income Statement'!M19</f>
        <v>49525.577776019185</v>
      </c>
      <c r="N6" s="40">
        <f>'Income Statement'!N19</f>
        <v>54135.197910615054</v>
      </c>
    </row>
    <row r="7" spans="1:14" ht="15" customHeight="1" x14ac:dyDescent="0.2">
      <c r="A7" s="19" t="s">
        <v>179</v>
      </c>
      <c r="B7" s="23">
        <v>6139</v>
      </c>
      <c r="C7" s="23">
        <v>6174</v>
      </c>
      <c r="D7" s="23">
        <v>9294</v>
      </c>
      <c r="E7" s="40">
        <f>'Income Statement'!E5*Assumptions!E10</f>
        <v>11548.35765</v>
      </c>
      <c r="F7" s="40">
        <f>'Income Statement'!F5*Assumptions!F10</f>
        <v>16308.847303499999</v>
      </c>
      <c r="G7" s="40">
        <f>'Income Statement'!G5*Assumptions!G10</f>
        <v>20999.482224725998</v>
      </c>
      <c r="H7" s="40">
        <f>'Income Statement'!H5*Assumptions!H10</f>
        <v>23072.254646672485</v>
      </c>
      <c r="I7" s="40">
        <f>'Income Statement'!I5*Assumptions!I10</f>
        <v>23072.254646672485</v>
      </c>
      <c r="J7" s="40">
        <f>'Income Statement'!J5*Assumptions!J10</f>
        <v>22488.526604111674</v>
      </c>
      <c r="K7" s="40">
        <f>'Income Statement'!K5*Assumptions!K10</f>
        <v>21369.097724262559</v>
      </c>
      <c r="L7" s="40">
        <f>'Income Statement'!L5*Assumptions!L10</f>
        <v>20763.639955408453</v>
      </c>
      <c r="M7" s="40">
        <f>'Income Statement'!M5*Assumptions!M10</f>
        <v>19876.46624822282</v>
      </c>
      <c r="N7" s="40">
        <f>'Income Statement'!N5*Assumptions!N10</f>
        <v>20348.532321618113</v>
      </c>
    </row>
    <row r="8" spans="1:14" ht="15" customHeight="1" x14ac:dyDescent="0.2">
      <c r="A8" s="19" t="s">
        <v>180</v>
      </c>
      <c r="B8" s="23">
        <v>3974</v>
      </c>
      <c r="C8" s="23">
        <v>4674</v>
      </c>
      <c r="D8" s="23">
        <v>4811</v>
      </c>
      <c r="E8" s="40">
        <f>'Income Statement'!E5*Assumptions!E11</f>
        <v>5988.0373000000009</v>
      </c>
      <c r="F8" s="40">
        <f>'Income Statement'!F5*Assumptions!F11</f>
        <v>7260.0675093</v>
      </c>
      <c r="G8" s="40">
        <f>'Income Statement'!G5*Assumptions!G11</f>
        <v>8399.7928898903992</v>
      </c>
      <c r="H8" s="40">
        <f>'Income Statement'!H5*Assumptions!H11</f>
        <v>9089.0700123255247</v>
      </c>
      <c r="I8" s="40">
        <f>'Income Statement'!I5*Assumptions!I11</f>
        <v>9536.5319206246277</v>
      </c>
      <c r="J8" s="40">
        <f>'Income Statement'!J5*Assumptions!J11</f>
        <v>9994.9007129385209</v>
      </c>
      <c r="K8" s="40">
        <f>'Income Statement'!K5*Assumptions!K11</f>
        <v>10328.397233393571</v>
      </c>
      <c r="L8" s="40">
        <f>'Income Statement'!L5*Assumptions!L11</f>
        <v>10381.819977704226</v>
      </c>
      <c r="M8" s="40">
        <f>'Income Statement'!M5*Assumptions!M11</f>
        <v>10534.527111558094</v>
      </c>
      <c r="N8" s="40">
        <f>'Income Statement'!N5*Assumptions!N11</f>
        <v>10435.144780316981</v>
      </c>
    </row>
    <row r="9" spans="1:14" ht="15" customHeight="1" x14ac:dyDescent="0.2">
      <c r="A9" s="19" t="s">
        <v>181</v>
      </c>
      <c r="B9" s="23">
        <v>-965</v>
      </c>
      <c r="C9" s="23">
        <v>-653</v>
      </c>
      <c r="D9" s="23">
        <v>-2190</v>
      </c>
      <c r="E9" s="40">
        <f>-('Balance Sheet'!E9-'Balance Sheet'!D9)</f>
        <v>-2739.4653150684935</v>
      </c>
      <c r="F9" s="40">
        <f>-('Balance Sheet'!F9-'Balance Sheet'!E9)</f>
        <v>-3018.627022465751</v>
      </c>
      <c r="G9" s="40">
        <f>-('Balance Sheet'!G9-'Balance Sheet'!F9)</f>
        <v>-2808.898066730957</v>
      </c>
      <c r="H9" s="40">
        <f>-('Balance Sheet'!H9-'Balance Sheet'!G9)</f>
        <v>-2501.6627333630131</v>
      </c>
      <c r="I9" s="40">
        <f>-('Balance Sheet'!I9-'Balance Sheet'!H9)</f>
        <v>-2145.3653137628244</v>
      </c>
      <c r="J9" s="40">
        <f>-('Balance Sheet'!J9-'Balance Sheet'!I9)</f>
        <v>-1958.7185314654525</v>
      </c>
      <c r="K9" s="40">
        <f>-('Balance Sheet'!K9-'Balance Sheet'!J9)</f>
        <v>-1763.4838518170982</v>
      </c>
      <c r="L9" s="40">
        <f>-('Balance Sheet'!L9-'Balance Sheet'!K9)</f>
        <v>-1639.2732500804159</v>
      </c>
      <c r="M9" s="40">
        <f>-('Balance Sheet'!M9-'Balance Sheet'!L9)</f>
        <v>-1534.906186491964</v>
      </c>
      <c r="N9" s="40">
        <f>-('Balance Sheet'!N9-'Balance Sheet'!M9)</f>
        <v>-1524.7700135622981</v>
      </c>
    </row>
    <row r="10" spans="1:14" ht="15" customHeight="1" x14ac:dyDescent="0.2">
      <c r="A10" s="19" t="s">
        <v>182</v>
      </c>
      <c r="B10" s="23">
        <v>0</v>
      </c>
      <c r="C10" s="23">
        <v>0</v>
      </c>
      <c r="D10" s="23">
        <v>0</v>
      </c>
      <c r="E10" s="40">
        <f>-('Balance Sheet'!E10-'Balance Sheet'!D10)</f>
        <v>-1186.7769600000001</v>
      </c>
      <c r="F10" s="40">
        <f>-('Balance Sheet'!F10-'Balance Sheet'!E10)</f>
        <v>-1259.1987007999996</v>
      </c>
      <c r="G10" s="40">
        <f>-('Balance Sheet'!G10-'Balance Sheet'!F10)</f>
        <v>-1171.7117649791999</v>
      </c>
      <c r="H10" s="40">
        <f>-('Balance Sheet'!H10-'Balance Sheet'!G10)</f>
        <v>-1043.5507402028552</v>
      </c>
      <c r="I10" s="40">
        <f>-('Balance Sheet'!I10-'Balance Sheet'!H10)</f>
        <v>-894.92381659820603</v>
      </c>
      <c r="J10" s="40">
        <f>-('Balance Sheet'!J10-'Balance Sheet'!I10)</f>
        <v>-817.06544455416224</v>
      </c>
      <c r="K10" s="40">
        <f>-('Balance Sheet'!K10-'Balance Sheet'!J10)</f>
        <v>-735.62469247227455</v>
      </c>
      <c r="L10" s="40">
        <f>-('Balance Sheet'!L10-'Balance Sheet'!K10)</f>
        <v>-683.81112717640281</v>
      </c>
      <c r="M10" s="40">
        <f>-('Balance Sheet'!M10-'Balance Sheet'!L10)</f>
        <v>-640.27515207950455</v>
      </c>
      <c r="N10" s="40">
        <f>-('Balance Sheet'!N10-'Balance Sheet'!M10)</f>
        <v>-636.04691994312998</v>
      </c>
    </row>
    <row r="11" spans="1:14" ht="15" customHeight="1" x14ac:dyDescent="0.2">
      <c r="A11" s="19" t="s">
        <v>183</v>
      </c>
      <c r="B11" s="23">
        <v>-594</v>
      </c>
      <c r="C11" s="23">
        <v>-608</v>
      </c>
      <c r="D11" s="23">
        <v>-240</v>
      </c>
      <c r="E11" s="40">
        <f>'Balance Sheet'!E18-'Balance Sheet'!D18</f>
        <v>4264.506483000001</v>
      </c>
      <c r="F11" s="40">
        <f>'Balance Sheet'!F18-'Balance Sheet'!E18</f>
        <v>-1374.6435571620004</v>
      </c>
      <c r="G11" s="40">
        <f>'Balance Sheet'!G18-'Balance Sheet'!F18</f>
        <v>-1930.5239134370422</v>
      </c>
      <c r="H11" s="40">
        <f>'Balance Sheet'!H18-'Balance Sheet'!G18</f>
        <v>-555.60325036307222</v>
      </c>
      <c r="I11" s="40">
        <f>'Balance Sheet'!I18-'Balance Sheet'!H18</f>
        <v>-355.92642379621066</v>
      </c>
      <c r="J11" s="40">
        <f>'Balance Sheet'!J18-'Balance Sheet'!I18</f>
        <v>-208.46042777769617</v>
      </c>
      <c r="K11" s="40">
        <f>'Balance Sheet'!K18-'Balance Sheet'!J18</f>
        <v>9.680781649227356</v>
      </c>
      <c r="L11" s="40">
        <f>'Balance Sheet'!L18-'Balance Sheet'!K18</f>
        <v>169.85929435135586</v>
      </c>
      <c r="M11" s="40">
        <f>'Balance Sheet'!M18-'Balance Sheet'!L18</f>
        <v>232.22683778902137</v>
      </c>
      <c r="N11" s="40">
        <f>'Balance Sheet'!N18-'Balance Sheet'!M18</f>
        <v>247.31709626715747</v>
      </c>
    </row>
    <row r="12" spans="1:14" ht="15" customHeight="1" x14ac:dyDescent="0.2">
      <c r="A12" s="19" t="s">
        <v>184</v>
      </c>
      <c r="B12" s="23">
        <v>656</v>
      </c>
      <c r="C12" s="23">
        <v>154</v>
      </c>
      <c r="D12" s="23">
        <v>4642</v>
      </c>
      <c r="E12" s="40">
        <f>'Balance Sheet'!E19-'Balance Sheet'!D19+'Balance Sheet'!E21-'Balance Sheet'!D21+'Balance Sheet'!E22-'Balance Sheet'!D22</f>
        <v>6352.1865000000034</v>
      </c>
      <c r="F12" s="40">
        <f>'Balance Sheet'!F19-'Balance Sheet'!E19+'Balance Sheet'!F21-'Balance Sheet'!E21+'Balance Sheet'!F22-'Balance Sheet'!E22</f>
        <v>6886.2428949999976</v>
      </c>
      <c r="G12" s="40">
        <f>'Balance Sheet'!G19-'Balance Sheet'!F19+'Balance Sheet'!G21-'Balance Sheet'!F21+'Balance Sheet'!G22-'Balance Sheet'!F22</f>
        <v>6407.7987147299973</v>
      </c>
      <c r="H12" s="40">
        <f>'Balance Sheet'!H19-'Balance Sheet'!G19+'Balance Sheet'!H21-'Balance Sheet'!G21+'Balance Sheet'!H22-'Balance Sheet'!G22</f>
        <v>5706.9181104843628</v>
      </c>
      <c r="I12" s="40">
        <f>'Balance Sheet'!I19-'Balance Sheet'!H19+'Balance Sheet'!I21-'Balance Sheet'!H21+'Balance Sheet'!I22-'Balance Sheet'!H22</f>
        <v>4894.1146220214432</v>
      </c>
      <c r="J12" s="40">
        <f>'Balance Sheet'!J19-'Balance Sheet'!I19+'Balance Sheet'!J21-'Balance Sheet'!I21+'Balance Sheet'!J22-'Balance Sheet'!I22</f>
        <v>4468.326649905568</v>
      </c>
      <c r="K12" s="40">
        <f>'Balance Sheet'!K19-'Balance Sheet'!J19+'Balance Sheet'!K21-'Balance Sheet'!J21+'Balance Sheet'!K22-'Balance Sheet'!J22</f>
        <v>4022.9475369577594</v>
      </c>
      <c r="L12" s="40">
        <f>'Balance Sheet'!L19-'Balance Sheet'!K19+'Balance Sheet'!L21-'Balance Sheet'!K21+'Balance Sheet'!L22-'Balance Sheet'!K22</f>
        <v>3739.5921017459514</v>
      </c>
      <c r="M12" s="40">
        <f>'Balance Sheet'!M19-'Balance Sheet'!L19+'Balance Sheet'!M21-'Balance Sheet'!L21+'Balance Sheet'!M22-'Balance Sheet'!L22</f>
        <v>3501.5047379347925</v>
      </c>
      <c r="N12" s="40">
        <f>'Balance Sheet'!N19-'Balance Sheet'!M19+'Balance Sheet'!N21-'Balance Sheet'!M21+'Balance Sheet'!N22-'Balance Sheet'!M22</f>
        <v>3478.3815934390004</v>
      </c>
    </row>
    <row r="13" spans="1:14" ht="15" customHeight="1" x14ac:dyDescent="0.2">
      <c r="A13" s="19" t="s">
        <v>185</v>
      </c>
      <c r="B13" s="23">
        <v>-1004</v>
      </c>
      <c r="C13" s="23">
        <v>-1363</v>
      </c>
      <c r="D13" s="23">
        <v>-1427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</row>
    <row r="14" spans="1:14" ht="15" customHeight="1" x14ac:dyDescent="0.2">
      <c r="A14" s="39" t="s">
        <v>186</v>
      </c>
      <c r="B14" s="41">
        <f t="shared" ref="B14:N14" si="0">SUM(B6:B13)</f>
        <v>18673</v>
      </c>
      <c r="C14" s="41">
        <f t="shared" si="0"/>
        <v>20821</v>
      </c>
      <c r="D14" s="41">
        <f t="shared" si="0"/>
        <v>31977</v>
      </c>
      <c r="E14" s="41">
        <f t="shared" si="0"/>
        <v>40602.436067931521</v>
      </c>
      <c r="F14" s="41">
        <f t="shared" si="0"/>
        <v>44536.089115347655</v>
      </c>
      <c r="G14" s="41">
        <f t="shared" si="0"/>
        <v>53240.129064298555</v>
      </c>
      <c r="H14" s="42">
        <f t="shared" si="0"/>
        <v>61281.066547783426</v>
      </c>
      <c r="I14" s="42">
        <f t="shared" si="0"/>
        <v>65830.765727053804</v>
      </c>
      <c r="J14" s="42">
        <f t="shared" si="0"/>
        <v>70037.531890605751</v>
      </c>
      <c r="K14" s="42">
        <f t="shared" si="0"/>
        <v>73768.167498464667</v>
      </c>
      <c r="L14" s="42">
        <f t="shared" si="0"/>
        <v>77659.31478860644</v>
      </c>
      <c r="M14" s="42">
        <f t="shared" si="0"/>
        <v>81495.121372952446</v>
      </c>
      <c r="N14" s="42">
        <f t="shared" si="0"/>
        <v>86483.756768750885</v>
      </c>
    </row>
    <row r="16" spans="1:14" ht="15" customHeight="1" x14ac:dyDescent="0.2">
      <c r="A16" s="18" t="s">
        <v>187</v>
      </c>
    </row>
    <row r="17" spans="1:14" ht="15" customHeight="1" x14ac:dyDescent="0.2">
      <c r="A17" s="19" t="s">
        <v>86</v>
      </c>
      <c r="B17" s="23">
        <v>-6866</v>
      </c>
      <c r="C17" s="23">
        <v>-21215</v>
      </c>
      <c r="D17" s="23">
        <v>-55663</v>
      </c>
      <c r="E17" s="40">
        <f>-Assumptions!E16</f>
        <v>-78500</v>
      </c>
      <c r="F17" s="40">
        <f>-Assumptions!F16</f>
        <v>-69000</v>
      </c>
      <c r="G17" s="40">
        <f>-Assumptions!G16</f>
        <v>-55000</v>
      </c>
      <c r="H17" s="40">
        <f>-Assumptions!H16</f>
        <v>-44500</v>
      </c>
      <c r="I17" s="40">
        <f>-Assumptions!I16</f>
        <v>-36500</v>
      </c>
      <c r="J17" s="40">
        <f>-Assumptions!J16</f>
        <v>-30500</v>
      </c>
      <c r="K17" s="40">
        <f>-Assumptions!K16</f>
        <v>-27000</v>
      </c>
      <c r="L17" s="40">
        <f>-Assumptions!L16</f>
        <v>-25000</v>
      </c>
      <c r="M17" s="40">
        <f>-Assumptions!M16</f>
        <v>-24000</v>
      </c>
      <c r="N17" s="40">
        <f>-Assumptions!N16</f>
        <v>-23000</v>
      </c>
    </row>
    <row r="18" spans="1:14" ht="15" customHeight="1" x14ac:dyDescent="0.2">
      <c r="A18" s="19" t="s">
        <v>188</v>
      </c>
      <c r="B18" s="23">
        <v>-494</v>
      </c>
      <c r="C18" s="23">
        <v>-496</v>
      </c>
      <c r="D18" s="23">
        <v>3809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</row>
    <row r="19" spans="1:14" ht="15" customHeight="1" x14ac:dyDescent="0.2">
      <c r="A19" s="39" t="s">
        <v>189</v>
      </c>
      <c r="B19" s="41">
        <f t="shared" ref="B19:N19" si="1">B17+B18</f>
        <v>-7360</v>
      </c>
      <c r="C19" s="41">
        <f t="shared" si="1"/>
        <v>-21711</v>
      </c>
      <c r="D19" s="41">
        <f t="shared" si="1"/>
        <v>-51854</v>
      </c>
      <c r="E19" s="41">
        <f t="shared" si="1"/>
        <v>-78500</v>
      </c>
      <c r="F19" s="41">
        <f t="shared" si="1"/>
        <v>-69000</v>
      </c>
      <c r="G19" s="41">
        <f t="shared" si="1"/>
        <v>-55000</v>
      </c>
      <c r="H19" s="42">
        <f t="shared" si="1"/>
        <v>-44500</v>
      </c>
      <c r="I19" s="42">
        <f t="shared" si="1"/>
        <v>-36500</v>
      </c>
      <c r="J19" s="42">
        <f t="shared" si="1"/>
        <v>-30500</v>
      </c>
      <c r="K19" s="42">
        <f t="shared" si="1"/>
        <v>-27000</v>
      </c>
      <c r="L19" s="42">
        <f t="shared" si="1"/>
        <v>-25000</v>
      </c>
      <c r="M19" s="42">
        <f t="shared" si="1"/>
        <v>-24000</v>
      </c>
      <c r="N19" s="42">
        <f t="shared" si="1"/>
        <v>-23000</v>
      </c>
    </row>
    <row r="21" spans="1:14" ht="15" customHeight="1" x14ac:dyDescent="0.2">
      <c r="A21" s="18" t="s">
        <v>190</v>
      </c>
    </row>
    <row r="22" spans="1:14" ht="15" customHeight="1" x14ac:dyDescent="0.2">
      <c r="A22" s="19" t="s">
        <v>191</v>
      </c>
      <c r="B22" s="23">
        <v>-167</v>
      </c>
      <c r="C22" s="23">
        <v>3311</v>
      </c>
      <c r="D22" s="23">
        <v>1060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</row>
    <row r="23" spans="1:14" ht="15" customHeight="1" x14ac:dyDescent="0.2">
      <c r="A23" s="19" t="s">
        <v>192</v>
      </c>
      <c r="B23" s="23">
        <v>0</v>
      </c>
      <c r="C23" s="23">
        <v>19548</v>
      </c>
      <c r="D23" s="23">
        <v>46093</v>
      </c>
      <c r="E23" s="40">
        <f>Assumptions!E25</f>
        <v>40000</v>
      </c>
      <c r="F23" s="40">
        <f>Assumptions!F25</f>
        <v>25000</v>
      </c>
      <c r="G23" s="40">
        <f>Assumptions!G25</f>
        <v>15000</v>
      </c>
      <c r="H23" s="40">
        <f>Assumptions!H25</f>
        <v>12000</v>
      </c>
      <c r="I23" s="40">
        <f>Assumptions!I25</f>
        <v>10000</v>
      </c>
      <c r="J23" s="40">
        <f>Assumptions!J25</f>
        <v>8000</v>
      </c>
      <c r="K23" s="40">
        <f>Assumptions!K25</f>
        <v>6000</v>
      </c>
      <c r="L23" s="40">
        <f>Assumptions!L25</f>
        <v>5000</v>
      </c>
      <c r="M23" s="40">
        <f>Assumptions!M25</f>
        <v>4000</v>
      </c>
      <c r="N23" s="40">
        <f>Assumptions!N25</f>
        <v>3000</v>
      </c>
    </row>
    <row r="24" spans="1:14" ht="15" customHeight="1" x14ac:dyDescent="0.2">
      <c r="A24" s="19" t="s">
        <v>193</v>
      </c>
      <c r="B24" s="23">
        <v>-3500</v>
      </c>
      <c r="C24" s="23">
        <v>-15841</v>
      </c>
      <c r="D24" s="23">
        <v>-6942</v>
      </c>
      <c r="E24" s="40">
        <f>-Assumptions!E26</f>
        <v>-7000</v>
      </c>
      <c r="F24" s="40">
        <f>-Assumptions!F26</f>
        <v>-8000</v>
      </c>
      <c r="G24" s="40">
        <f>-Assumptions!G26</f>
        <v>-9000</v>
      </c>
      <c r="H24" s="40">
        <f>-Assumptions!H26</f>
        <v>-9000</v>
      </c>
      <c r="I24" s="40">
        <f>-Assumptions!I26</f>
        <v>-9000</v>
      </c>
      <c r="J24" s="40">
        <f>-Assumptions!J26</f>
        <v>-9000</v>
      </c>
      <c r="K24" s="40">
        <f>-Assumptions!K26</f>
        <v>-9000</v>
      </c>
      <c r="L24" s="40">
        <f>-Assumptions!L26</f>
        <v>-9000</v>
      </c>
      <c r="M24" s="40">
        <f>-Assumptions!M26</f>
        <v>-9000</v>
      </c>
      <c r="N24" s="40">
        <f>-Assumptions!N26</f>
        <v>-9000</v>
      </c>
    </row>
    <row r="25" spans="1:14" ht="15" customHeight="1" x14ac:dyDescent="0.2">
      <c r="A25" s="19" t="s">
        <v>194</v>
      </c>
      <c r="B25" s="23">
        <v>742</v>
      </c>
      <c r="C25" s="23">
        <v>653</v>
      </c>
      <c r="D25" s="23">
        <v>1449</v>
      </c>
      <c r="E25" s="40">
        <f>Assumptions!E31</f>
        <v>1200</v>
      </c>
      <c r="F25" s="40">
        <f>Assumptions!F31</f>
        <v>1200</v>
      </c>
      <c r="G25" s="40">
        <f>Assumptions!G31</f>
        <v>1200</v>
      </c>
      <c r="H25" s="40">
        <f>Assumptions!H31</f>
        <v>1200</v>
      </c>
      <c r="I25" s="40">
        <f>Assumptions!I31</f>
        <v>1200</v>
      </c>
      <c r="J25" s="40">
        <f>Assumptions!J31</f>
        <v>1200</v>
      </c>
      <c r="K25" s="40">
        <f>Assumptions!K31</f>
        <v>1200</v>
      </c>
      <c r="L25" s="40">
        <f>Assumptions!L31</f>
        <v>1200</v>
      </c>
      <c r="M25" s="40">
        <f>Assumptions!M31</f>
        <v>1200</v>
      </c>
      <c r="N25" s="40">
        <f>Assumptions!N31</f>
        <v>1200</v>
      </c>
    </row>
    <row r="26" spans="1:14" ht="15" customHeight="1" x14ac:dyDescent="0.2">
      <c r="A26" s="19" t="s">
        <v>195</v>
      </c>
      <c r="B26" s="23">
        <v>0</v>
      </c>
      <c r="C26" s="23">
        <v>0</v>
      </c>
      <c r="D26" s="23">
        <v>4954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</row>
    <row r="27" spans="1:14" ht="15" customHeight="1" x14ac:dyDescent="0.2">
      <c r="A27" s="19" t="s">
        <v>196</v>
      </c>
      <c r="B27" s="23">
        <v>-3242</v>
      </c>
      <c r="C27" s="23">
        <v>-1500</v>
      </c>
      <c r="D27" s="23">
        <v>-206</v>
      </c>
      <c r="E27" s="40">
        <f>-Assumptions!E30</f>
        <v>-1000</v>
      </c>
      <c r="F27" s="40">
        <f>-Assumptions!F30</f>
        <v>-1000</v>
      </c>
      <c r="G27" s="40">
        <f>-Assumptions!G30</f>
        <v>-1000</v>
      </c>
      <c r="H27" s="40">
        <f>-Assumptions!H30</f>
        <v>-1000</v>
      </c>
      <c r="I27" s="40">
        <f>-Assumptions!I30</f>
        <v>-1000</v>
      </c>
      <c r="J27" s="40">
        <f>-Assumptions!J30</f>
        <v>-1000</v>
      </c>
      <c r="K27" s="40">
        <f>-Assumptions!K30</f>
        <v>-1000</v>
      </c>
      <c r="L27" s="40">
        <f>-Assumptions!L30</f>
        <v>-1000</v>
      </c>
      <c r="M27" s="40">
        <f>-Assumptions!M30</f>
        <v>-1000</v>
      </c>
      <c r="N27" s="40">
        <f>-Assumptions!N30</f>
        <v>-1000</v>
      </c>
    </row>
    <row r="28" spans="1:14" ht="15" customHeight="1" x14ac:dyDescent="0.2">
      <c r="A28" s="19" t="s">
        <v>197</v>
      </c>
      <c r="B28" s="23">
        <v>-4391</v>
      </c>
      <c r="C28" s="23">
        <v>-4743</v>
      </c>
      <c r="D28" s="23">
        <v>-5787</v>
      </c>
      <c r="E28" s="40">
        <f>-Assumptions!E28*'Income Statement'!E23</f>
        <v>-6502.4960000000001</v>
      </c>
      <c r="F28" s="40">
        <f>-Assumptions!F28*'Income Statement'!F23</f>
        <v>-7373.7143479999986</v>
      </c>
      <c r="G28" s="40">
        <f>-Assumptions!G28*'Income Statement'!G23</f>
        <v>-8337.5851358799991</v>
      </c>
      <c r="H28" s="40">
        <f>-Assumptions!H28*'Income Statement'!H23</f>
        <v>-9241.7235496185585</v>
      </c>
      <c r="I28" s="40">
        <f>-Assumptions!I28*'Income Statement'!I23</f>
        <v>-10139.6362499637</v>
      </c>
      <c r="J28" s="40">
        <f>-Assumptions!J28*'Income Statement'!J23</f>
        <v>-11006.770720954661</v>
      </c>
      <c r="K28" s="40">
        <f>-Assumptions!K28*'Income Statement'!K23</f>
        <v>-11821.543899735218</v>
      </c>
      <c r="L28" s="40">
        <f>-Assumptions!L28*'Income Statement'!L23</f>
        <v>-12613.648120163491</v>
      </c>
      <c r="M28" s="40">
        <f>-Assumptions!M28*'Income Statement'!M23</f>
        <v>-13321.295158769271</v>
      </c>
      <c r="N28" s="40">
        <f>-Assumptions!N28*'Income Statement'!N23</f>
        <v>-14066.551026176914</v>
      </c>
    </row>
    <row r="29" spans="1:14" x14ac:dyDescent="0.2">
      <c r="A29" t="s">
        <v>198</v>
      </c>
      <c r="E29" s="12">
        <f>-MIN(MAX(0,(E35+E14+E19+E33+E22+E23+E24+E25+E26+E27+E28+E30)-Assumptions!$B$27),MAX(0,E14+E19),('Balance Sheet'!D24+Assumptions!E25-Assumptions!E26))</f>
        <v>0</v>
      </c>
      <c r="F29" s="12">
        <f>-MIN(MAX(0,(F35+F14+F19+F33+F22+F23+F24+F25+F26+F27+F28+F30)-Assumptions!$B$27),MAX(0,F14+F19),('Balance Sheet'!E24+Assumptions!F25-Assumptions!F26))</f>
        <v>0</v>
      </c>
      <c r="G29" s="12">
        <f>-MIN(MAX(0,(G35+G14+G19+G33+G22+G23+G24+G25+G26+G27+G28+G30)-Assumptions!$B$27),MAX(0,G14+G19),('Balance Sheet'!F24+Assumptions!G25-Assumptions!G26))</f>
        <v>0</v>
      </c>
      <c r="H29" s="12">
        <f>-MIN(MAX(0,(H35+H14+H19+H33+H22+H23+H24+H25+H26+H27+H28+H30)-Assumptions!$B$27),MAX(0,H14+H19),('Balance Sheet'!G24+Assumptions!H25-Assumptions!H26))</f>
        <v>0</v>
      </c>
      <c r="I29" s="12">
        <f>-MIN(MAX(0,(I35+I14+I19+I33+I22+I23+I24+I25+I26+I27+I28+I30)-Assumptions!$B$27),MAX(0,I14+I19),('Balance Sheet'!H24+Assumptions!I25-Assumptions!I26))</f>
        <v>-16184.331238952702</v>
      </c>
      <c r="J29" s="12">
        <f>-MIN(MAX(0,(J35+J14+J19+J33+J22+J23+J24+J25+J26+J27+J28+J30)-Assumptions!$B$27),MAX(0,J14+J19),('Balance Sheet'!I24+Assumptions!J25-Assumptions!J26))</f>
        <v>-27430.761169651087</v>
      </c>
      <c r="K29" s="12">
        <f>-MIN(MAX(0,(K35+K14+K19+K33+K22+K23+K24+K25+K26+K27+K28+K30)-Assumptions!$B$27),MAX(0,K14+K19),('Balance Sheet'!J24+Assumptions!K25-Assumptions!K26))</f>
        <v>-31846.623598729449</v>
      </c>
      <c r="L29" s="12">
        <f>-MIN(MAX(0,(L35+L14+L19+L33+L22+L23+L24+L25+L26+L27+L28+L30)-Assumptions!$B$27),MAX(0,L14+L19),('Balance Sheet'!K24+Assumptions!L25-Assumptions!L26))</f>
        <v>-35945.666668442951</v>
      </c>
      <c r="M29" s="12">
        <f>-MIN(MAX(0,(M35+M14+M19+M33+M22+M23+M24+M25+M26+M27+M28+M30)-Assumptions!$B$27),MAX(0,M14+M19),('Balance Sheet'!L24+Assumptions!M25-Assumptions!M26))</f>
        <v>-39073.826214183173</v>
      </c>
      <c r="N29" s="12">
        <f>-MIN(MAX(0,(N35+N14+N19+N33+N22+N23+N24+N25+N26+N27+N28+N30)-Assumptions!$B$27),MAX(0,N14+N19),('Balance Sheet'!M24+Assumptions!N25-Assumptions!N26))</f>
        <v>-12860.791110040642</v>
      </c>
    </row>
    <row r="30" spans="1:14" ht="15" customHeight="1" x14ac:dyDescent="0.2">
      <c r="A30" s="19" t="s">
        <v>199</v>
      </c>
      <c r="B30" s="23">
        <v>4</v>
      </c>
      <c r="C30" s="23">
        <v>-330</v>
      </c>
      <c r="D30" s="23">
        <v>-337</v>
      </c>
      <c r="E30" s="40">
        <f>-Assumptions!E29</f>
        <v>-300</v>
      </c>
      <c r="F30" s="40">
        <f>-Assumptions!F29</f>
        <v>-300</v>
      </c>
      <c r="G30" s="40">
        <f>-Assumptions!G29</f>
        <v>-300</v>
      </c>
      <c r="H30" s="40">
        <f>-Assumptions!H29</f>
        <v>-300</v>
      </c>
      <c r="I30" s="40">
        <f>-Assumptions!I29</f>
        <v>-300</v>
      </c>
      <c r="J30" s="40">
        <f>-Assumptions!J29</f>
        <v>-300</v>
      </c>
      <c r="K30" s="40">
        <f>-Assumptions!K29</f>
        <v>-300</v>
      </c>
      <c r="L30" s="40">
        <f>-Assumptions!L29</f>
        <v>-300</v>
      </c>
      <c r="M30" s="40">
        <f>-Assumptions!M29</f>
        <v>-300</v>
      </c>
      <c r="N30" s="40">
        <f>-Assumptions!N29</f>
        <v>-300</v>
      </c>
    </row>
    <row r="31" spans="1:14" ht="15" customHeight="1" x14ac:dyDescent="0.2">
      <c r="A31" s="39" t="s">
        <v>200</v>
      </c>
      <c r="B31" s="41">
        <f t="shared" ref="B31:N31" si="2">SUM(B22:B30)</f>
        <v>-10554</v>
      </c>
      <c r="C31" s="41">
        <f t="shared" si="2"/>
        <v>1098</v>
      </c>
      <c r="D31" s="41">
        <f t="shared" si="2"/>
        <v>40284</v>
      </c>
      <c r="E31" s="41">
        <f t="shared" si="2"/>
        <v>26397.504000000001</v>
      </c>
      <c r="F31" s="41">
        <f t="shared" si="2"/>
        <v>9526.2856520000023</v>
      </c>
      <c r="G31" s="41">
        <f t="shared" si="2"/>
        <v>-2437.5851358799991</v>
      </c>
      <c r="H31" s="42">
        <f t="shared" si="2"/>
        <v>-6341.7235496185585</v>
      </c>
      <c r="I31" s="42">
        <f t="shared" si="2"/>
        <v>-25423.967488916402</v>
      </c>
      <c r="J31" s="42">
        <f t="shared" si="2"/>
        <v>-39537.531890605751</v>
      </c>
      <c r="K31" s="42">
        <f t="shared" si="2"/>
        <v>-46768.167498464667</v>
      </c>
      <c r="L31" s="42">
        <f t="shared" si="2"/>
        <v>-52659.31478860644</v>
      </c>
      <c r="M31" s="42">
        <f t="shared" si="2"/>
        <v>-57495.121372952446</v>
      </c>
      <c r="N31" s="42">
        <f t="shared" si="2"/>
        <v>-33027.342136217558</v>
      </c>
    </row>
    <row r="33" spans="1:14" ht="15" customHeight="1" x14ac:dyDescent="0.2">
      <c r="A33" s="19" t="s">
        <v>201</v>
      </c>
      <c r="B33" s="23">
        <v>-70</v>
      </c>
      <c r="C33" s="23">
        <v>124</v>
      </c>
      <c r="D33" s="23">
        <v>96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</row>
    <row r="34" spans="1:14" ht="15" customHeight="1" x14ac:dyDescent="0.2">
      <c r="A34" s="39" t="s">
        <v>202</v>
      </c>
      <c r="B34" s="41">
        <f t="shared" ref="B34:N34" si="3">B14+B19+B31+B33</f>
        <v>689</v>
      </c>
      <c r="C34" s="41">
        <f t="shared" si="3"/>
        <v>332</v>
      </c>
      <c r="D34" s="41">
        <f t="shared" si="3"/>
        <v>20503</v>
      </c>
      <c r="E34" s="41">
        <f t="shared" si="3"/>
        <v>-11500.059932068478</v>
      </c>
      <c r="F34" s="41">
        <f t="shared" si="3"/>
        <v>-14937.625232652343</v>
      </c>
      <c r="G34" s="41">
        <f t="shared" si="3"/>
        <v>-4197.4560715814441</v>
      </c>
      <c r="H34" s="42">
        <f t="shared" si="3"/>
        <v>10439.342998164868</v>
      </c>
      <c r="I34" s="42">
        <f t="shared" si="3"/>
        <v>3906.7982381374022</v>
      </c>
      <c r="J34" s="42">
        <f t="shared" si="3"/>
        <v>0</v>
      </c>
      <c r="K34" s="42">
        <f t="shared" si="3"/>
        <v>0</v>
      </c>
      <c r="L34" s="42">
        <f t="shared" si="3"/>
        <v>0</v>
      </c>
      <c r="M34" s="42">
        <f t="shared" si="3"/>
        <v>0</v>
      </c>
      <c r="N34" s="42">
        <f t="shared" si="3"/>
        <v>30456.414632533328</v>
      </c>
    </row>
    <row r="35" spans="1:14" ht="15" customHeight="1" x14ac:dyDescent="0.2">
      <c r="A35" s="19" t="s">
        <v>203</v>
      </c>
      <c r="B35" s="23">
        <v>9765</v>
      </c>
      <c r="C35" s="23">
        <v>10454</v>
      </c>
      <c r="D35" s="23">
        <v>10786</v>
      </c>
      <c r="E35" s="44">
        <f t="shared" ref="E35:N35" si="4">D36</f>
        <v>31289</v>
      </c>
      <c r="F35" s="44">
        <f t="shared" si="4"/>
        <v>19788.940067931522</v>
      </c>
      <c r="G35" s="44">
        <f t="shared" si="4"/>
        <v>4851.3148352791795</v>
      </c>
      <c r="H35" s="44">
        <f t="shared" si="4"/>
        <v>653.85876369773541</v>
      </c>
      <c r="I35" s="44">
        <f t="shared" si="4"/>
        <v>11093.201761862603</v>
      </c>
      <c r="J35" s="44">
        <f t="shared" si="4"/>
        <v>15000.000000000005</v>
      </c>
      <c r="K35" s="44">
        <f t="shared" si="4"/>
        <v>15000.000000000005</v>
      </c>
      <c r="L35" s="44">
        <f t="shared" si="4"/>
        <v>15000.000000000005</v>
      </c>
      <c r="M35" s="44">
        <f t="shared" si="4"/>
        <v>15000.000000000005</v>
      </c>
      <c r="N35" s="44">
        <f t="shared" si="4"/>
        <v>15000.000000000005</v>
      </c>
    </row>
    <row r="36" spans="1:14" ht="15" customHeight="1" x14ac:dyDescent="0.2">
      <c r="A36" s="39" t="s">
        <v>204</v>
      </c>
      <c r="B36" s="41">
        <f t="shared" ref="B36:N36" si="5">B34+B35</f>
        <v>10454</v>
      </c>
      <c r="C36" s="41">
        <f t="shared" si="5"/>
        <v>10786</v>
      </c>
      <c r="D36" s="41">
        <f t="shared" si="5"/>
        <v>31289</v>
      </c>
      <c r="E36" s="41">
        <f t="shared" si="5"/>
        <v>19788.940067931522</v>
      </c>
      <c r="F36" s="41">
        <f t="shared" si="5"/>
        <v>4851.3148352791795</v>
      </c>
      <c r="G36" s="41">
        <f t="shared" si="5"/>
        <v>653.85876369773541</v>
      </c>
      <c r="H36" s="42">
        <f t="shared" si="5"/>
        <v>11093.201761862603</v>
      </c>
      <c r="I36" s="42">
        <f t="shared" si="5"/>
        <v>15000.000000000005</v>
      </c>
      <c r="J36" s="42">
        <f t="shared" si="5"/>
        <v>15000.000000000005</v>
      </c>
      <c r="K36" s="42">
        <f t="shared" si="5"/>
        <v>15000.000000000005</v>
      </c>
      <c r="L36" s="42">
        <f t="shared" si="5"/>
        <v>15000.000000000005</v>
      </c>
      <c r="M36" s="42">
        <f t="shared" si="5"/>
        <v>15000.000000000005</v>
      </c>
      <c r="N36" s="42">
        <f t="shared" si="5"/>
        <v>45456.414632533335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5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6640625" defaultRowHeight="15" x14ac:dyDescent="0.2"/>
  <cols>
    <col min="1" max="1" width="42" customWidth="1"/>
    <col min="2" max="7" width="12" customWidth="1"/>
  </cols>
  <sheetData>
    <row r="1" spans="1:14" ht="15" customHeight="1" x14ac:dyDescent="0.2">
      <c r="A1" s="14" t="s">
        <v>205</v>
      </c>
    </row>
    <row r="2" spans="1:14" ht="15" customHeight="1" x14ac:dyDescent="0.2">
      <c r="A2" s="15" t="s">
        <v>206</v>
      </c>
    </row>
    <row r="3" spans="1:14" ht="15" customHeight="1" x14ac:dyDescent="0.2">
      <c r="B3" s="16" t="s">
        <v>31</v>
      </c>
      <c r="C3" s="16" t="s">
        <v>32</v>
      </c>
      <c r="D3" s="16" t="s">
        <v>33</v>
      </c>
      <c r="E3" s="16" t="s">
        <v>34</v>
      </c>
      <c r="F3" s="16" t="s">
        <v>35</v>
      </c>
      <c r="G3" s="16" t="s">
        <v>36</v>
      </c>
      <c r="H3" s="17" t="s">
        <v>37</v>
      </c>
      <c r="I3" s="17" t="s">
        <v>38</v>
      </c>
      <c r="J3" s="17" t="s">
        <v>39</v>
      </c>
      <c r="K3" s="17" t="s">
        <v>40</v>
      </c>
      <c r="L3" s="17" t="s">
        <v>41</v>
      </c>
      <c r="M3" s="17" t="s">
        <v>42</v>
      </c>
      <c r="N3" s="17" t="s">
        <v>43</v>
      </c>
    </row>
    <row r="4" spans="1:14" ht="15" customHeight="1" x14ac:dyDescent="0.2">
      <c r="A4" s="18" t="s">
        <v>207</v>
      </c>
    </row>
    <row r="5" spans="1:14" ht="15" customHeight="1" x14ac:dyDescent="0.2">
      <c r="A5" s="19" t="s">
        <v>208</v>
      </c>
      <c r="B5" s="23">
        <v>0</v>
      </c>
      <c r="C5" s="23">
        <v>0</v>
      </c>
      <c r="D5" s="23">
        <v>0</v>
      </c>
      <c r="E5" s="44">
        <f t="shared" ref="E5:N5" si="0">D7</f>
        <v>4954</v>
      </c>
      <c r="F5" s="44">
        <f t="shared" si="0"/>
        <v>4954</v>
      </c>
      <c r="G5" s="44">
        <f t="shared" si="0"/>
        <v>4954</v>
      </c>
      <c r="H5" s="44">
        <f t="shared" si="0"/>
        <v>4954</v>
      </c>
      <c r="I5" s="44">
        <f t="shared" si="0"/>
        <v>4954</v>
      </c>
      <c r="J5" s="44">
        <f t="shared" si="0"/>
        <v>4954</v>
      </c>
      <c r="K5" s="44">
        <f t="shared" si="0"/>
        <v>4954</v>
      </c>
      <c r="L5" s="44">
        <f t="shared" si="0"/>
        <v>4954</v>
      </c>
      <c r="M5" s="44">
        <f t="shared" si="0"/>
        <v>4954</v>
      </c>
      <c r="N5" s="44">
        <f t="shared" si="0"/>
        <v>4954</v>
      </c>
    </row>
    <row r="6" spans="1:14" ht="15" customHeight="1" x14ac:dyDescent="0.2">
      <c r="A6" s="19" t="s">
        <v>209</v>
      </c>
      <c r="B6" s="23">
        <v>0</v>
      </c>
      <c r="C6" s="23">
        <v>0</v>
      </c>
      <c r="D6" s="23">
        <v>4954</v>
      </c>
      <c r="E6" s="23">
        <v>0</v>
      </c>
      <c r="F6" s="23">
        <v>0</v>
      </c>
      <c r="G6" s="23">
        <v>0</v>
      </c>
      <c r="H6" s="23">
        <v>0</v>
      </c>
      <c r="I6" s="23">
        <v>0</v>
      </c>
      <c r="J6" s="23">
        <v>0</v>
      </c>
      <c r="K6" s="23">
        <v>0</v>
      </c>
      <c r="L6" s="23">
        <v>0</v>
      </c>
      <c r="M6" s="23">
        <v>0</v>
      </c>
      <c r="N6" s="23">
        <v>0</v>
      </c>
    </row>
    <row r="7" spans="1:14" ht="15" customHeight="1" x14ac:dyDescent="0.2">
      <c r="A7" s="39" t="s">
        <v>210</v>
      </c>
      <c r="B7" s="41">
        <f t="shared" ref="B7:N7" si="1">B5+B6</f>
        <v>0</v>
      </c>
      <c r="C7" s="41">
        <f t="shared" si="1"/>
        <v>0</v>
      </c>
      <c r="D7" s="41">
        <f t="shared" si="1"/>
        <v>4954</v>
      </c>
      <c r="E7" s="41">
        <f t="shared" si="1"/>
        <v>4954</v>
      </c>
      <c r="F7" s="41">
        <f t="shared" si="1"/>
        <v>4954</v>
      </c>
      <c r="G7" s="41">
        <f t="shared" si="1"/>
        <v>4954</v>
      </c>
      <c r="H7" s="42">
        <f t="shared" si="1"/>
        <v>4954</v>
      </c>
      <c r="I7" s="42">
        <f t="shared" si="1"/>
        <v>4954</v>
      </c>
      <c r="J7" s="42">
        <f t="shared" si="1"/>
        <v>4954</v>
      </c>
      <c r="K7" s="42">
        <f t="shared" si="1"/>
        <v>4954</v>
      </c>
      <c r="L7" s="42">
        <f t="shared" si="1"/>
        <v>4954</v>
      </c>
      <c r="M7" s="42">
        <f t="shared" si="1"/>
        <v>4954</v>
      </c>
      <c r="N7" s="42">
        <f t="shared" si="1"/>
        <v>4954</v>
      </c>
    </row>
    <row r="9" spans="1:14" ht="15" customHeight="1" x14ac:dyDescent="0.2">
      <c r="A9" s="18" t="s">
        <v>211</v>
      </c>
    </row>
    <row r="10" spans="1:14" ht="15" customHeight="1" x14ac:dyDescent="0.2">
      <c r="A10" s="19" t="s">
        <v>208</v>
      </c>
      <c r="B10" s="23">
        <v>30215</v>
      </c>
      <c r="C10" s="23">
        <v>32764</v>
      </c>
      <c r="D10" s="23">
        <v>37107</v>
      </c>
      <c r="E10" s="44">
        <f t="shared" ref="E10:N10" si="2">D14</f>
        <v>43243</v>
      </c>
      <c r="F10" s="44">
        <f t="shared" si="2"/>
        <v>50431.037300000004</v>
      </c>
      <c r="G10" s="44">
        <f t="shared" si="2"/>
        <v>58891.104809300006</v>
      </c>
      <c r="H10" s="44">
        <f t="shared" si="2"/>
        <v>68490.897699190406</v>
      </c>
      <c r="I10" s="44">
        <f t="shared" si="2"/>
        <v>78779.967711515928</v>
      </c>
      <c r="J10" s="44">
        <f t="shared" si="2"/>
        <v>89516.499632140563</v>
      </c>
      <c r="K10" s="44">
        <f t="shared" si="2"/>
        <v>100711.40034507908</v>
      </c>
      <c r="L10" s="44">
        <f t="shared" si="2"/>
        <v>112239.79757847264</v>
      </c>
      <c r="M10" s="44">
        <f t="shared" si="2"/>
        <v>123821.61755617688</v>
      </c>
      <c r="N10" s="44">
        <f t="shared" si="2"/>
        <v>135556.14466773497</v>
      </c>
    </row>
    <row r="11" spans="1:14" ht="15" customHeight="1" x14ac:dyDescent="0.2">
      <c r="A11" s="19" t="s">
        <v>180</v>
      </c>
      <c r="B11" s="23">
        <v>3974</v>
      </c>
      <c r="C11" s="23">
        <v>4674</v>
      </c>
      <c r="D11" s="23">
        <v>4811</v>
      </c>
      <c r="E11" s="40">
        <f>'Cash Flow'!E8</f>
        <v>5988.0373000000009</v>
      </c>
      <c r="F11" s="40">
        <f>'Cash Flow'!F8</f>
        <v>7260.0675093</v>
      </c>
      <c r="G11" s="40">
        <f>'Cash Flow'!G8</f>
        <v>8399.7928898903992</v>
      </c>
      <c r="H11" s="40">
        <f>'Cash Flow'!H8</f>
        <v>9089.0700123255247</v>
      </c>
      <c r="I11" s="40">
        <f>'Cash Flow'!I8</f>
        <v>9536.5319206246277</v>
      </c>
      <c r="J11" s="40">
        <f>'Cash Flow'!J8</f>
        <v>9994.9007129385209</v>
      </c>
      <c r="K11" s="40">
        <f>'Cash Flow'!K8</f>
        <v>10328.397233393571</v>
      </c>
      <c r="L11" s="40">
        <f>'Cash Flow'!L8</f>
        <v>10381.819977704226</v>
      </c>
      <c r="M11" s="40">
        <f>'Cash Flow'!M8</f>
        <v>10534.527111558094</v>
      </c>
      <c r="N11" s="40">
        <f>'Cash Flow'!N8</f>
        <v>10435.144780316981</v>
      </c>
    </row>
    <row r="12" spans="1:14" ht="15" customHeight="1" x14ac:dyDescent="0.2">
      <c r="A12" s="19" t="s">
        <v>212</v>
      </c>
      <c r="B12" s="23">
        <v>742</v>
      </c>
      <c r="C12" s="23">
        <v>653</v>
      </c>
      <c r="D12" s="23">
        <v>1449</v>
      </c>
      <c r="E12" s="40">
        <f>Assumptions!E31</f>
        <v>1200</v>
      </c>
      <c r="F12" s="40">
        <f>Assumptions!F31</f>
        <v>1200</v>
      </c>
      <c r="G12" s="40">
        <f>Assumptions!G31</f>
        <v>1200</v>
      </c>
      <c r="H12" s="40">
        <f>Assumptions!H31</f>
        <v>1200</v>
      </c>
      <c r="I12" s="40">
        <f>Assumptions!I31</f>
        <v>1200</v>
      </c>
      <c r="J12" s="40">
        <f>Assumptions!J31</f>
        <v>1200</v>
      </c>
      <c r="K12" s="40">
        <f>Assumptions!K31</f>
        <v>1200</v>
      </c>
      <c r="L12" s="40">
        <f>Assumptions!L31</f>
        <v>1200</v>
      </c>
      <c r="M12" s="40">
        <f>Assumptions!M31</f>
        <v>1200</v>
      </c>
      <c r="N12" s="40">
        <f>Assumptions!N31</f>
        <v>1200</v>
      </c>
    </row>
    <row r="13" spans="1:14" ht="15" customHeight="1" x14ac:dyDescent="0.2">
      <c r="A13" s="19" t="s">
        <v>213</v>
      </c>
      <c r="B13" s="23">
        <v>-2167</v>
      </c>
      <c r="C13" s="23">
        <v>-984</v>
      </c>
      <c r="D13" s="23">
        <v>-124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</row>
    <row r="14" spans="1:14" ht="15" customHeight="1" x14ac:dyDescent="0.2">
      <c r="A14" s="39" t="s">
        <v>210</v>
      </c>
      <c r="B14" s="41">
        <f t="shared" ref="B14:N14" si="3">SUM(B10:B13)</f>
        <v>32764</v>
      </c>
      <c r="C14" s="41">
        <f t="shared" si="3"/>
        <v>37107</v>
      </c>
      <c r="D14" s="41">
        <f t="shared" si="3"/>
        <v>43243</v>
      </c>
      <c r="E14" s="41">
        <f t="shared" si="3"/>
        <v>50431.037300000004</v>
      </c>
      <c r="F14" s="41">
        <f t="shared" si="3"/>
        <v>58891.104809300006</v>
      </c>
      <c r="G14" s="41">
        <f t="shared" si="3"/>
        <v>68490.897699190406</v>
      </c>
      <c r="H14" s="42">
        <f t="shared" si="3"/>
        <v>78779.967711515928</v>
      </c>
      <c r="I14" s="42">
        <f t="shared" si="3"/>
        <v>89516.499632140563</v>
      </c>
      <c r="J14" s="42">
        <f t="shared" si="3"/>
        <v>100711.40034507908</v>
      </c>
      <c r="K14" s="42">
        <f t="shared" si="3"/>
        <v>112239.79757847264</v>
      </c>
      <c r="L14" s="42">
        <f t="shared" si="3"/>
        <v>123821.61755617688</v>
      </c>
      <c r="M14" s="42">
        <f t="shared" si="3"/>
        <v>135556.14466773497</v>
      </c>
      <c r="N14" s="42">
        <f t="shared" si="3"/>
        <v>147191.28944805195</v>
      </c>
    </row>
    <row r="16" spans="1:14" ht="15" customHeight="1" x14ac:dyDescent="0.2">
      <c r="A16" s="18" t="s">
        <v>214</v>
      </c>
    </row>
    <row r="17" spans="1:14" ht="15" customHeight="1" x14ac:dyDescent="0.2">
      <c r="A17" s="19" t="s">
        <v>208</v>
      </c>
      <c r="B17" s="23">
        <v>-27620</v>
      </c>
      <c r="C17" s="23">
        <v>-22628</v>
      </c>
      <c r="D17" s="23">
        <v>-15481</v>
      </c>
      <c r="E17" s="44">
        <f t="shared" ref="E17:N17" si="4">D22</f>
        <v>-4309</v>
      </c>
      <c r="F17" s="44">
        <f t="shared" si="4"/>
        <v>4264.0944100000006</v>
      </c>
      <c r="G17" s="44">
        <f t="shared" si="4"/>
        <v>15323.780749975413</v>
      </c>
      <c r="H17" s="44">
        <f t="shared" si="4"/>
        <v>29030.384594194766</v>
      </c>
      <c r="I17" s="44">
        <f t="shared" si="4"/>
        <v>46002.301546806193</v>
      </c>
      <c r="J17" s="44">
        <f t="shared" si="4"/>
        <v>66286.745388734984</v>
      </c>
      <c r="K17" s="44">
        <f t="shared" si="4"/>
        <v>90049.996995227615</v>
      </c>
      <c r="L17" s="44">
        <f t="shared" si="4"/>
        <v>117465.60586198333</v>
      </c>
      <c r="M17" s="44">
        <f t="shared" si="4"/>
        <v>148479.4455784731</v>
      </c>
      <c r="N17" s="44">
        <f t="shared" si="4"/>
        <v>183383.728195723</v>
      </c>
    </row>
    <row r="18" spans="1:14" ht="15" customHeight="1" x14ac:dyDescent="0.2">
      <c r="A18" s="19" t="s">
        <v>134</v>
      </c>
      <c r="B18" s="23">
        <v>10467</v>
      </c>
      <c r="C18" s="23">
        <v>12443</v>
      </c>
      <c r="D18" s="23">
        <v>17087</v>
      </c>
      <c r="E18" s="40">
        <f>'Income Statement'!E19</f>
        <v>16375.590410000001</v>
      </c>
      <c r="F18" s="40">
        <f>'Income Statement'!F19</f>
        <v>19733.400687975409</v>
      </c>
      <c r="G18" s="40">
        <f>'Income Statement'!G19</f>
        <v>23344.188980099356</v>
      </c>
      <c r="H18" s="40">
        <f>'Income Statement'!H19</f>
        <v>27513.640502229988</v>
      </c>
      <c r="I18" s="40">
        <f>'Income Statement'!I19</f>
        <v>31724.080091892494</v>
      </c>
      <c r="J18" s="40">
        <f>'Income Statement'!J19</f>
        <v>36070.022327447296</v>
      </c>
      <c r="K18" s="40">
        <f>'Income Statement'!K19</f>
        <v>40537.152766490937</v>
      </c>
      <c r="L18" s="40">
        <f>'Income Statement'!L19</f>
        <v>44927.487836653272</v>
      </c>
      <c r="M18" s="40">
        <f>'Income Statement'!M19</f>
        <v>49525.577776019185</v>
      </c>
      <c r="N18" s="40">
        <f>'Income Statement'!N19</f>
        <v>54135.197910615054</v>
      </c>
    </row>
    <row r="19" spans="1:14" ht="15" customHeight="1" x14ac:dyDescent="0.2">
      <c r="A19" s="19" t="s">
        <v>135</v>
      </c>
      <c r="B19" s="23">
        <v>0</v>
      </c>
      <c r="C19" s="23">
        <v>0</v>
      </c>
      <c r="D19" s="23">
        <v>-103</v>
      </c>
      <c r="E19" s="40">
        <f>-Assumptions!E29</f>
        <v>-300</v>
      </c>
      <c r="F19" s="40">
        <f>-Assumptions!F29</f>
        <v>-300</v>
      </c>
      <c r="G19" s="40">
        <f>-Assumptions!G29</f>
        <v>-300</v>
      </c>
      <c r="H19" s="40">
        <f>-Assumptions!H29</f>
        <v>-300</v>
      </c>
      <c r="I19" s="40">
        <f>-Assumptions!I29</f>
        <v>-300</v>
      </c>
      <c r="J19" s="40">
        <f>-Assumptions!J29</f>
        <v>-300</v>
      </c>
      <c r="K19" s="40">
        <f>-Assumptions!K29</f>
        <v>-300</v>
      </c>
      <c r="L19" s="40">
        <f>-Assumptions!L29</f>
        <v>-300</v>
      </c>
      <c r="M19" s="40">
        <f>-Assumptions!M29</f>
        <v>-300</v>
      </c>
      <c r="N19" s="40">
        <f>-Assumptions!N29</f>
        <v>-300</v>
      </c>
    </row>
    <row r="20" spans="1:14" ht="15" customHeight="1" x14ac:dyDescent="0.2">
      <c r="A20" s="19" t="s">
        <v>215</v>
      </c>
      <c r="B20" s="23">
        <v>-4391</v>
      </c>
      <c r="C20" s="23">
        <v>-4743</v>
      </c>
      <c r="D20" s="23">
        <v>-5787</v>
      </c>
      <c r="E20" s="40">
        <f>'Cash Flow'!E28</f>
        <v>-6502.4960000000001</v>
      </c>
      <c r="F20" s="40">
        <f>'Cash Flow'!F28</f>
        <v>-7373.7143479999986</v>
      </c>
      <c r="G20" s="40">
        <f>'Cash Flow'!G28</f>
        <v>-8337.5851358799991</v>
      </c>
      <c r="H20" s="40">
        <f>'Cash Flow'!H28</f>
        <v>-9241.7235496185585</v>
      </c>
      <c r="I20" s="40">
        <f>'Cash Flow'!I28</f>
        <v>-10139.6362499637</v>
      </c>
      <c r="J20" s="40">
        <f>'Cash Flow'!J28</f>
        <v>-11006.770720954661</v>
      </c>
      <c r="K20" s="40">
        <f>'Cash Flow'!K28</f>
        <v>-11821.543899735218</v>
      </c>
      <c r="L20" s="40">
        <f>'Cash Flow'!L28</f>
        <v>-12613.648120163491</v>
      </c>
      <c r="M20" s="40">
        <f>'Cash Flow'!M28</f>
        <v>-13321.295158769271</v>
      </c>
      <c r="N20" s="40">
        <f>'Cash Flow'!N28</f>
        <v>-14066.551026176914</v>
      </c>
    </row>
    <row r="21" spans="1:14" ht="15" customHeight="1" x14ac:dyDescent="0.2">
      <c r="A21" s="19" t="s">
        <v>216</v>
      </c>
      <c r="B21" s="23">
        <v>-1084</v>
      </c>
      <c r="C21" s="23">
        <v>-553</v>
      </c>
      <c r="D21" s="23">
        <v>-25</v>
      </c>
      <c r="E21" s="40">
        <f>'Cash Flow'!E27</f>
        <v>-1000</v>
      </c>
      <c r="F21" s="40">
        <f>'Cash Flow'!F27</f>
        <v>-1000</v>
      </c>
      <c r="G21" s="40">
        <f>'Cash Flow'!G27</f>
        <v>-1000</v>
      </c>
      <c r="H21" s="40">
        <f>'Cash Flow'!H27</f>
        <v>-1000</v>
      </c>
      <c r="I21" s="40">
        <f>'Cash Flow'!I27</f>
        <v>-1000</v>
      </c>
      <c r="J21" s="40">
        <f>'Cash Flow'!J27</f>
        <v>-1000</v>
      </c>
      <c r="K21" s="40">
        <f>'Cash Flow'!K27</f>
        <v>-1000</v>
      </c>
      <c r="L21" s="40">
        <f>'Cash Flow'!L27</f>
        <v>-1000</v>
      </c>
      <c r="M21" s="40">
        <f>'Cash Flow'!M27</f>
        <v>-1000</v>
      </c>
      <c r="N21" s="40">
        <f>'Cash Flow'!N27</f>
        <v>-1000</v>
      </c>
    </row>
    <row r="22" spans="1:14" ht="15" customHeight="1" x14ac:dyDescent="0.2">
      <c r="A22" s="39" t="s">
        <v>210</v>
      </c>
      <c r="B22" s="41">
        <f t="shared" ref="B22:N22" si="5">SUM(B17:B21)</f>
        <v>-22628</v>
      </c>
      <c r="C22" s="41">
        <f t="shared" si="5"/>
        <v>-15481</v>
      </c>
      <c r="D22" s="41">
        <f t="shared" si="5"/>
        <v>-4309</v>
      </c>
      <c r="E22" s="41">
        <f t="shared" si="5"/>
        <v>4264.0944100000006</v>
      </c>
      <c r="F22" s="41">
        <f t="shared" si="5"/>
        <v>15323.780749975413</v>
      </c>
      <c r="G22" s="41">
        <f t="shared" si="5"/>
        <v>29030.384594194766</v>
      </c>
      <c r="H22" s="42">
        <f t="shared" si="5"/>
        <v>46002.301546806193</v>
      </c>
      <c r="I22" s="42">
        <f t="shared" si="5"/>
        <v>66286.745388734984</v>
      </c>
      <c r="J22" s="42">
        <f t="shared" si="5"/>
        <v>90049.996995227615</v>
      </c>
      <c r="K22" s="42">
        <f t="shared" si="5"/>
        <v>117465.60586198333</v>
      </c>
      <c r="L22" s="42">
        <f t="shared" si="5"/>
        <v>148479.4455784731</v>
      </c>
      <c r="M22" s="42">
        <f t="shared" si="5"/>
        <v>183383.728195723</v>
      </c>
      <c r="N22" s="42">
        <f t="shared" si="5"/>
        <v>222152.37508016112</v>
      </c>
    </row>
    <row r="24" spans="1:14" ht="15" customHeight="1" x14ac:dyDescent="0.2">
      <c r="A24" s="18" t="s">
        <v>217</v>
      </c>
    </row>
    <row r="25" spans="1:14" ht="15" customHeight="1" x14ac:dyDescent="0.2">
      <c r="A25" s="19" t="s">
        <v>208</v>
      </c>
      <c r="B25" s="23">
        <v>-1522</v>
      </c>
      <c r="C25" s="23">
        <v>-1432</v>
      </c>
      <c r="D25" s="23">
        <v>-1175</v>
      </c>
      <c r="E25" s="44">
        <f t="shared" ref="E25:N25" si="6">D27</f>
        <v>-1380</v>
      </c>
      <c r="F25" s="44">
        <f t="shared" si="6"/>
        <v>-1380</v>
      </c>
      <c r="G25" s="44">
        <f t="shared" si="6"/>
        <v>-1380</v>
      </c>
      <c r="H25" s="44">
        <f t="shared" si="6"/>
        <v>-1380</v>
      </c>
      <c r="I25" s="44">
        <f t="shared" si="6"/>
        <v>-1380</v>
      </c>
      <c r="J25" s="44">
        <f t="shared" si="6"/>
        <v>-1380</v>
      </c>
      <c r="K25" s="44">
        <f t="shared" si="6"/>
        <v>-1380</v>
      </c>
      <c r="L25" s="44">
        <f t="shared" si="6"/>
        <v>-1380</v>
      </c>
      <c r="M25" s="44">
        <f t="shared" si="6"/>
        <v>-1380</v>
      </c>
      <c r="N25" s="44">
        <f t="shared" si="6"/>
        <v>-1380</v>
      </c>
    </row>
    <row r="26" spans="1:14" ht="15" customHeight="1" x14ac:dyDescent="0.2">
      <c r="A26" s="19" t="s">
        <v>218</v>
      </c>
      <c r="B26" s="23">
        <v>90</v>
      </c>
      <c r="C26" s="23">
        <v>257</v>
      </c>
      <c r="D26" s="23">
        <v>-205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</row>
    <row r="27" spans="1:14" ht="15" customHeight="1" x14ac:dyDescent="0.2">
      <c r="A27" s="39" t="s">
        <v>210</v>
      </c>
      <c r="B27" s="41">
        <f t="shared" ref="B27:N27" si="7">B25+B26</f>
        <v>-1432</v>
      </c>
      <c r="C27" s="41">
        <f t="shared" si="7"/>
        <v>-1175</v>
      </c>
      <c r="D27" s="41">
        <f t="shared" si="7"/>
        <v>-1380</v>
      </c>
      <c r="E27" s="41">
        <f t="shared" si="7"/>
        <v>-1380</v>
      </c>
      <c r="F27" s="41">
        <f t="shared" si="7"/>
        <v>-1380</v>
      </c>
      <c r="G27" s="41">
        <f t="shared" si="7"/>
        <v>-1380</v>
      </c>
      <c r="H27" s="42">
        <f t="shared" si="7"/>
        <v>-1380</v>
      </c>
      <c r="I27" s="42">
        <f t="shared" si="7"/>
        <v>-1380</v>
      </c>
      <c r="J27" s="42">
        <f t="shared" si="7"/>
        <v>-1380</v>
      </c>
      <c r="K27" s="42">
        <f t="shared" si="7"/>
        <v>-1380</v>
      </c>
      <c r="L27" s="42">
        <f t="shared" si="7"/>
        <v>-1380</v>
      </c>
      <c r="M27" s="42">
        <f t="shared" si="7"/>
        <v>-1380</v>
      </c>
      <c r="N27" s="42">
        <f t="shared" si="7"/>
        <v>-1380</v>
      </c>
    </row>
    <row r="29" spans="1:14" ht="15" customHeight="1" x14ac:dyDescent="0.2">
      <c r="A29" s="18" t="s">
        <v>219</v>
      </c>
    </row>
    <row r="30" spans="1:14" ht="15" customHeight="1" x14ac:dyDescent="0.2">
      <c r="A30" s="19" t="s">
        <v>208</v>
      </c>
      <c r="B30" s="23">
        <v>483</v>
      </c>
      <c r="C30" s="23">
        <v>535</v>
      </c>
      <c r="D30" s="23">
        <v>518</v>
      </c>
      <c r="E30" s="44">
        <f t="shared" ref="E30:N30" si="8">D32</f>
        <v>548</v>
      </c>
      <c r="F30" s="44">
        <f t="shared" si="8"/>
        <v>548</v>
      </c>
      <c r="G30" s="44">
        <f t="shared" si="8"/>
        <v>548</v>
      </c>
      <c r="H30" s="44">
        <f t="shared" si="8"/>
        <v>548</v>
      </c>
      <c r="I30" s="44">
        <f t="shared" si="8"/>
        <v>548</v>
      </c>
      <c r="J30" s="44">
        <f t="shared" si="8"/>
        <v>548</v>
      </c>
      <c r="K30" s="44">
        <f t="shared" si="8"/>
        <v>548</v>
      </c>
      <c r="L30" s="44">
        <f t="shared" si="8"/>
        <v>548</v>
      </c>
      <c r="M30" s="44">
        <f t="shared" si="8"/>
        <v>548</v>
      </c>
      <c r="N30" s="44">
        <f t="shared" si="8"/>
        <v>548</v>
      </c>
    </row>
    <row r="31" spans="1:14" ht="15" customHeight="1" x14ac:dyDescent="0.2">
      <c r="A31" s="19" t="s">
        <v>220</v>
      </c>
      <c r="B31" s="23">
        <v>52</v>
      </c>
      <c r="C31" s="23">
        <v>-17</v>
      </c>
      <c r="D31" s="23">
        <v>30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</row>
    <row r="32" spans="1:14" ht="15" customHeight="1" x14ac:dyDescent="0.2">
      <c r="A32" s="39" t="s">
        <v>210</v>
      </c>
      <c r="B32" s="41">
        <f t="shared" ref="B32:N32" si="9">B30+B31</f>
        <v>535</v>
      </c>
      <c r="C32" s="41">
        <f t="shared" si="9"/>
        <v>518</v>
      </c>
      <c r="D32" s="41">
        <f t="shared" si="9"/>
        <v>548</v>
      </c>
      <c r="E32" s="41">
        <f t="shared" si="9"/>
        <v>548</v>
      </c>
      <c r="F32" s="41">
        <f t="shared" si="9"/>
        <v>548</v>
      </c>
      <c r="G32" s="41">
        <f t="shared" si="9"/>
        <v>548</v>
      </c>
      <c r="H32" s="42">
        <f t="shared" si="9"/>
        <v>548</v>
      </c>
      <c r="I32" s="42">
        <f t="shared" si="9"/>
        <v>548</v>
      </c>
      <c r="J32" s="42">
        <f t="shared" si="9"/>
        <v>548</v>
      </c>
      <c r="K32" s="42">
        <f t="shared" si="9"/>
        <v>548</v>
      </c>
      <c r="L32" s="42">
        <f t="shared" si="9"/>
        <v>548</v>
      </c>
      <c r="M32" s="42">
        <f t="shared" si="9"/>
        <v>548</v>
      </c>
      <c r="N32" s="42">
        <f t="shared" si="9"/>
        <v>548</v>
      </c>
    </row>
    <row r="34" spans="1:14" ht="15" customHeight="1" x14ac:dyDescent="0.2">
      <c r="A34" s="39" t="s">
        <v>221</v>
      </c>
      <c r="B34" s="41">
        <f t="shared" ref="B34:N34" si="10">B7+B14+B22+B27+B32</f>
        <v>9239</v>
      </c>
      <c r="C34" s="41">
        <f t="shared" si="10"/>
        <v>20969</v>
      </c>
      <c r="D34" s="41">
        <f t="shared" si="10"/>
        <v>43056</v>
      </c>
      <c r="E34" s="41">
        <f t="shared" si="10"/>
        <v>58817.131710000001</v>
      </c>
      <c r="F34" s="41">
        <f t="shared" si="10"/>
        <v>78336.885559275426</v>
      </c>
      <c r="G34" s="41">
        <f t="shared" si="10"/>
        <v>101643.28229338517</v>
      </c>
      <c r="H34" s="42">
        <f t="shared" si="10"/>
        <v>128904.26925832212</v>
      </c>
      <c r="I34" s="42">
        <f t="shared" si="10"/>
        <v>159925.24502087553</v>
      </c>
      <c r="J34" s="42">
        <f t="shared" si="10"/>
        <v>194883.39734030669</v>
      </c>
      <c r="K34" s="42">
        <f t="shared" si="10"/>
        <v>233827.40344045596</v>
      </c>
      <c r="L34" s="42">
        <f t="shared" si="10"/>
        <v>276423.06313465</v>
      </c>
      <c r="M34" s="42">
        <f t="shared" si="10"/>
        <v>323061.872863458</v>
      </c>
      <c r="N34" s="42">
        <f t="shared" si="10"/>
        <v>373465.66452821309</v>
      </c>
    </row>
    <row r="35" spans="1:14" ht="15" customHeight="1" x14ac:dyDescent="0.2">
      <c r="A35" s="19" t="s">
        <v>222</v>
      </c>
      <c r="B35" s="44">
        <f>'Balance Sheet'!B36-B34</f>
        <v>0</v>
      </c>
      <c r="C35" s="44">
        <f>'Balance Sheet'!C36-C34</f>
        <v>0</v>
      </c>
      <c r="D35" s="44">
        <f>'Balance Sheet'!D36-D34</f>
        <v>0</v>
      </c>
      <c r="E35" s="44">
        <f>'Balance Sheet'!E36-E34</f>
        <v>0</v>
      </c>
      <c r="F35" s="44">
        <f>'Balance Sheet'!F36-F34</f>
        <v>0</v>
      </c>
      <c r="G35" s="44">
        <f>'Balance Sheet'!G36-G34</f>
        <v>0</v>
      </c>
      <c r="H35" s="44">
        <f>'Balance Sheet'!H36-H34</f>
        <v>0</v>
      </c>
      <c r="I35" s="44">
        <f>'Balance Sheet'!I36-I34</f>
        <v>0</v>
      </c>
      <c r="J35" s="44">
        <f>'Balance Sheet'!J36-J34</f>
        <v>0</v>
      </c>
      <c r="K35" s="44">
        <f>'Balance Sheet'!K36-K34</f>
        <v>0</v>
      </c>
      <c r="L35" s="44">
        <f>'Balance Sheet'!L36-L34</f>
        <v>0</v>
      </c>
      <c r="M35" s="44">
        <f>'Balance Sheet'!M36-M34</f>
        <v>0</v>
      </c>
      <c r="N35" s="44">
        <f>'Balance Sheet'!N36-N34</f>
        <v>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Metadata/LabelInfo.xml><?xml version="1.0" encoding="utf-8"?>
<clbl:labelList xmlns:clbl="http://schemas.microsoft.com/office/2020/mipLabelMetadata">
  <clbl:label id="{564d5b7c-21e1-4ff8-87da-b11358f56701}" enabled="1" method="Standard" siteId="{9c4e57fd-27a9-490e-a48d-cdc1329d581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Cover</vt:lpstr>
      <vt:lpstr>Assumptions</vt:lpstr>
      <vt:lpstr>DCF</vt:lpstr>
      <vt:lpstr>Scenarios</vt:lpstr>
      <vt:lpstr>Income Statement</vt:lpstr>
      <vt:lpstr>Balance Sheet</vt:lpstr>
      <vt:lpstr>Cash Flow</vt:lpstr>
      <vt:lpstr>Stockholders Equity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Jason Abed</cp:lastModifiedBy>
  <dcterms:modified xsi:type="dcterms:W3CDTF">2026-07-25T23:14:43Z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2026-07-17T04:39:27Z</dcterms:created>
  <dc:creator>openpyxl</dc:creator>
  <dc:description/>
  <dc:language>en-US</dc:language>
  <cp:lastModifiedBy/>
  <dcterms:modified xsi:type="dcterms:W3CDTF">2026-07-25T23:01:10Z</dcterms:modified>
  <cp:revision>0</cp:revision>
  <dc:subject/>
  <dc:title/>
</cp:coreProperties>
</file>